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960" windowWidth="19200" windowHeight="10035" tabRatio="905" firstSheet="2" activeTab="9"/>
  </bookViews>
  <sheets>
    <sheet name="Биланс успеха" sheetId="33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запослених'!$B$1:$L$33</definedName>
    <definedName name="_xlnm.Print_Area" localSheetId="2">'Извештај о новчаним токовима'!$A$1:$H$66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D20" i="31" l="1"/>
  <c r="E20" i="31"/>
  <c r="F20" i="31"/>
  <c r="D10" i="31"/>
  <c r="E10" i="31"/>
  <c r="F10" i="31"/>
  <c r="H62" i="27" l="1"/>
  <c r="H9" i="33"/>
  <c r="H22" i="33"/>
  <c r="H14" i="33"/>
  <c r="C36" i="21" l="1"/>
  <c r="G24" i="23" l="1"/>
  <c r="G9" i="22" l="1"/>
  <c r="I136" i="27"/>
  <c r="G25" i="26"/>
  <c r="D25" i="26"/>
  <c r="G38" i="22" l="1"/>
  <c r="G47" i="28"/>
  <c r="G85" i="27"/>
  <c r="G57" i="27"/>
  <c r="I32" i="33"/>
  <c r="I16" i="10" l="1"/>
  <c r="G132" i="27" l="1"/>
  <c r="H132" i="27"/>
  <c r="G124" i="27"/>
  <c r="H124" i="27"/>
  <c r="G114" i="27"/>
  <c r="H114" i="27"/>
  <c r="G99" i="27"/>
  <c r="H99" i="27"/>
  <c r="G94" i="27"/>
  <c r="H94" i="27"/>
  <c r="H85" i="27"/>
  <c r="H77" i="27" s="1"/>
  <c r="G77" i="27"/>
  <c r="G62" i="27"/>
  <c r="H57" i="27"/>
  <c r="H41" i="27" s="1"/>
  <c r="G50" i="27"/>
  <c r="H50" i="27"/>
  <c r="G43" i="27"/>
  <c r="H43" i="27"/>
  <c r="G28" i="27"/>
  <c r="H28" i="27"/>
  <c r="G18" i="27"/>
  <c r="H18" i="27"/>
  <c r="G11" i="27"/>
  <c r="H11" i="27"/>
  <c r="H42" i="33"/>
  <c r="G36" i="33"/>
  <c r="H36" i="33"/>
  <c r="H48" i="33" s="1"/>
  <c r="G25" i="33"/>
  <c r="G22" i="33" s="1"/>
  <c r="H25" i="33"/>
  <c r="G14" i="33"/>
  <c r="G9" i="33" s="1"/>
  <c r="G39" i="28"/>
  <c r="G57" i="28" s="1"/>
  <c r="G32" i="28"/>
  <c r="G26" i="28"/>
  <c r="G14" i="28"/>
  <c r="G9" i="28"/>
  <c r="F47" i="28"/>
  <c r="F39" i="28"/>
  <c r="F32" i="28"/>
  <c r="F37" i="28" s="1"/>
  <c r="F26" i="28"/>
  <c r="F14" i="28"/>
  <c r="F9" i="28"/>
  <c r="F23" i="28" l="1"/>
  <c r="H56" i="33"/>
  <c r="H34" i="33"/>
  <c r="G111" i="27"/>
  <c r="G92" i="27"/>
  <c r="G41" i="27"/>
  <c r="H111" i="27"/>
  <c r="H92" i="27"/>
  <c r="G9" i="27"/>
  <c r="H9" i="27"/>
  <c r="G56" i="33"/>
  <c r="G48" i="33"/>
  <c r="G54" i="33"/>
  <c r="H54" i="33"/>
  <c r="G34" i="33"/>
  <c r="G37" i="28"/>
  <c r="H37" i="28" s="1"/>
  <c r="G23" i="28"/>
  <c r="G59" i="28"/>
  <c r="G58" i="28"/>
  <c r="F56" i="28"/>
  <c r="F58" i="28"/>
  <c r="F59" i="28"/>
  <c r="G61" i="28" l="1"/>
  <c r="G141" i="27"/>
  <c r="H141" i="27"/>
  <c r="H74" i="27"/>
  <c r="G74" i="27"/>
  <c r="G62" i="33"/>
  <c r="G71" i="33" s="1"/>
  <c r="G58" i="33"/>
  <c r="H62" i="33"/>
  <c r="H71" i="33" s="1"/>
  <c r="H58" i="33"/>
  <c r="H61" i="28" l="1"/>
  <c r="G65" i="28"/>
  <c r="I41" i="33"/>
  <c r="G25" i="14" l="1"/>
  <c r="H41" i="28"/>
  <c r="H20" i="28"/>
  <c r="H21" i="28"/>
  <c r="R24" i="23"/>
  <c r="Q24" i="23"/>
  <c r="V23" i="23"/>
  <c r="T23" i="23"/>
  <c r="U23" i="23"/>
  <c r="H23" i="23"/>
  <c r="I66" i="27" l="1"/>
  <c r="C20" i="31" l="1"/>
  <c r="C10" i="31"/>
  <c r="J12" i="30" l="1"/>
  <c r="K12" i="30"/>
  <c r="L12" i="30"/>
  <c r="M12" i="30"/>
  <c r="N12" i="30"/>
  <c r="O12" i="30"/>
  <c r="P12" i="30"/>
  <c r="I12" i="30"/>
  <c r="G21" i="14"/>
  <c r="G17" i="14"/>
  <c r="E12" i="19"/>
  <c r="E13" i="19"/>
  <c r="P24" i="23" l="1"/>
  <c r="V22" i="23"/>
  <c r="U22" i="23"/>
  <c r="T22" i="23"/>
  <c r="S22" i="23"/>
  <c r="V21" i="23"/>
  <c r="U21" i="23"/>
  <c r="T21" i="23"/>
  <c r="S21" i="23"/>
  <c r="V20" i="23"/>
  <c r="U20" i="23"/>
  <c r="T20" i="23"/>
  <c r="S20" i="23"/>
  <c r="V19" i="23"/>
  <c r="U19" i="23"/>
  <c r="T19" i="23"/>
  <c r="S19" i="23"/>
  <c r="V18" i="23"/>
  <c r="U18" i="23"/>
  <c r="T18" i="23"/>
  <c r="S18" i="23"/>
  <c r="V17" i="23"/>
  <c r="U17" i="23"/>
  <c r="T17" i="23"/>
  <c r="S17" i="23"/>
  <c r="V16" i="23"/>
  <c r="U16" i="23"/>
  <c r="T16" i="23"/>
  <c r="S16" i="23"/>
  <c r="V15" i="23"/>
  <c r="U15" i="23"/>
  <c r="T15" i="23"/>
  <c r="S15" i="23"/>
  <c r="V14" i="23"/>
  <c r="U14" i="23"/>
  <c r="T14" i="23"/>
  <c r="S14" i="23"/>
  <c r="V13" i="23"/>
  <c r="U13" i="23"/>
  <c r="T13" i="23"/>
  <c r="S13" i="23"/>
  <c r="V12" i="23"/>
  <c r="U12" i="23"/>
  <c r="T12" i="23"/>
  <c r="S12" i="23"/>
  <c r="V11" i="23"/>
  <c r="V24" i="23" s="1"/>
  <c r="U11" i="23"/>
  <c r="T11" i="23"/>
  <c r="S11" i="23"/>
  <c r="U10" i="23"/>
  <c r="T10" i="23"/>
  <c r="S10" i="23"/>
  <c r="U9" i="23"/>
  <c r="T9" i="23"/>
  <c r="S9" i="23"/>
  <c r="U8" i="23"/>
  <c r="T8" i="23"/>
  <c r="S8" i="23"/>
  <c r="S24" i="23" l="1"/>
  <c r="U24" i="23"/>
  <c r="T24" i="23"/>
  <c r="O24" i="23"/>
  <c r="I131" i="27"/>
  <c r="I135" i="27"/>
  <c r="I23" i="27"/>
  <c r="I16" i="27"/>
  <c r="I14" i="27"/>
  <c r="G13" i="19"/>
  <c r="G12" i="19"/>
  <c r="G9" i="19"/>
  <c r="G10" i="19"/>
  <c r="G8" i="19"/>
  <c r="E10" i="19"/>
  <c r="E9" i="19"/>
  <c r="E8" i="19"/>
  <c r="H16" i="28"/>
  <c r="F57" i="27"/>
  <c r="I11" i="27"/>
  <c r="D9" i="22" l="1"/>
  <c r="E11" i="27"/>
  <c r="F11" i="27"/>
  <c r="E18" i="27"/>
  <c r="F18" i="27"/>
  <c r="E28" i="27"/>
  <c r="F28" i="27"/>
  <c r="E43" i="27"/>
  <c r="F43" i="27"/>
  <c r="E50" i="27"/>
  <c r="F50" i="27"/>
  <c r="E57" i="27"/>
  <c r="E62" i="27"/>
  <c r="F62" i="27"/>
  <c r="E85" i="27"/>
  <c r="E77" i="27" s="1"/>
  <c r="F85" i="27"/>
  <c r="F77" i="27" s="1"/>
  <c r="E94" i="27"/>
  <c r="F94" i="27"/>
  <c r="E99" i="27"/>
  <c r="F99" i="27"/>
  <c r="E114" i="27"/>
  <c r="F114" i="27"/>
  <c r="E124" i="27"/>
  <c r="F124" i="27"/>
  <c r="I124" i="27"/>
  <c r="F92" i="27" l="1"/>
  <c r="F41" i="27"/>
  <c r="F9" i="27"/>
  <c r="E92" i="27"/>
  <c r="E41" i="27"/>
  <c r="E74" i="27" s="1"/>
  <c r="E9" i="27"/>
  <c r="F36" i="33"/>
  <c r="E36" i="33"/>
  <c r="F74" i="27" l="1"/>
  <c r="I47" i="33"/>
  <c r="I52" i="33"/>
  <c r="I45" i="33"/>
  <c r="I39" i="33"/>
  <c r="I36" i="33"/>
  <c r="I33" i="33"/>
  <c r="I24" i="33"/>
  <c r="I26" i="33"/>
  <c r="I28" i="33"/>
  <c r="I29" i="33"/>
  <c r="I31" i="33"/>
  <c r="I15" i="33"/>
  <c r="I20" i="33"/>
  <c r="I9" i="33"/>
  <c r="H9" i="28" l="1"/>
  <c r="H23" i="28" l="1"/>
  <c r="F38" i="22"/>
  <c r="D38" i="22"/>
  <c r="H9" i="23" l="1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4" i="23"/>
  <c r="H8" i="23"/>
  <c r="E8" i="22" l="1"/>
  <c r="E38" i="22" s="1"/>
  <c r="F14" i="33" l="1"/>
  <c r="F9" i="33" s="1"/>
  <c r="F25" i="33"/>
  <c r="F22" i="33" s="1"/>
  <c r="F42" i="33"/>
  <c r="F48" i="33" s="1"/>
  <c r="F56" i="33" l="1"/>
  <c r="F34" i="33"/>
  <c r="F54" i="33"/>
  <c r="F58" i="33" l="1"/>
  <c r="F62" i="33"/>
  <c r="F67" i="33" l="1"/>
  <c r="F71" i="33" s="1"/>
  <c r="D47" i="28" l="1"/>
  <c r="D57" i="28" s="1"/>
  <c r="D39" i="28"/>
  <c r="D26" i="28"/>
  <c r="D14" i="28"/>
  <c r="D9" i="28"/>
  <c r="D23" i="28" s="1"/>
  <c r="E132" i="27"/>
  <c r="E111" i="27" s="1"/>
  <c r="E54" i="33"/>
  <c r="E25" i="33"/>
  <c r="E14" i="33"/>
  <c r="E42" i="33"/>
  <c r="E48" i="33" s="1"/>
  <c r="E56" i="33" l="1"/>
  <c r="E22" i="33"/>
  <c r="H65" i="28"/>
  <c r="D59" i="28"/>
  <c r="E58" i="33"/>
  <c r="E62" i="33"/>
  <c r="E71" i="33" s="1"/>
  <c r="D58" i="28"/>
  <c r="D60" i="28" s="1"/>
  <c r="D65" i="28" s="1"/>
  <c r="D37" i="28"/>
  <c r="E34" i="33"/>
  <c r="E47" i="28"/>
  <c r="E39" i="28"/>
  <c r="E56" i="28" s="1"/>
  <c r="E32" i="28"/>
  <c r="E26" i="28"/>
  <c r="E14" i="28"/>
  <c r="E9" i="28"/>
  <c r="F132" i="27"/>
  <c r="F111" i="27" s="1"/>
  <c r="I27" i="33"/>
  <c r="I14" i="33"/>
  <c r="I132" i="27" l="1"/>
  <c r="E23" i="28"/>
  <c r="I42" i="33"/>
  <c r="E58" i="28"/>
  <c r="E37" i="28"/>
  <c r="E141" i="27"/>
  <c r="F141" i="27"/>
  <c r="E59" i="28"/>
  <c r="E61" i="28" l="1"/>
  <c r="E65" i="28" s="1"/>
  <c r="I25" i="33"/>
  <c r="I54" i="33"/>
  <c r="I34" i="33" l="1"/>
  <c r="I22" i="33"/>
  <c r="I56" i="33" l="1"/>
  <c r="I58" i="33"/>
  <c r="I9" i="27"/>
  <c r="I62" i="33" l="1"/>
  <c r="I67" i="33"/>
  <c r="I18" i="27"/>
  <c r="I20" i="27"/>
  <c r="I21" i="27"/>
  <c r="I28" i="27"/>
  <c r="I38" i="27"/>
  <c r="I40" i="27"/>
  <c r="I43" i="27"/>
  <c r="I44" i="27"/>
  <c r="I47" i="27"/>
  <c r="I50" i="27"/>
  <c r="I52" i="27"/>
  <c r="I57" i="27"/>
  <c r="I58" i="27"/>
  <c r="I59" i="27"/>
  <c r="I62" i="27"/>
  <c r="I63" i="27"/>
  <c r="I72" i="27"/>
  <c r="I75" i="27"/>
  <c r="I78" i="27"/>
  <c r="I79" i="27"/>
  <c r="I82" i="27"/>
  <c r="I85" i="27"/>
  <c r="I86" i="27"/>
  <c r="I87" i="27"/>
  <c r="I93" i="27"/>
  <c r="I95" i="27"/>
  <c r="I96" i="27"/>
  <c r="I99" i="27"/>
  <c r="I100" i="27"/>
  <c r="I104" i="27"/>
  <c r="I112" i="27"/>
  <c r="I115" i="27"/>
  <c r="I119" i="27"/>
  <c r="I128" i="27"/>
  <c r="I134" i="27"/>
  <c r="I138" i="27"/>
  <c r="I142" i="27"/>
  <c r="I143" i="27"/>
  <c r="I71" i="33" l="1"/>
  <c r="I111" i="27"/>
  <c r="I92" i="27"/>
  <c r="I94" i="27"/>
  <c r="I41" i="27"/>
  <c r="I114" i="27"/>
  <c r="H58" i="28"/>
  <c r="H59" i="28"/>
  <c r="H62" i="28"/>
  <c r="H47" i="28"/>
  <c r="H49" i="28"/>
  <c r="H34" i="28"/>
  <c r="H39" i="28"/>
  <c r="H32" i="28"/>
  <c r="H22" i="28"/>
  <c r="H17" i="28"/>
  <c r="H18" i="28"/>
  <c r="H12" i="28"/>
  <c r="H13" i="28"/>
  <c r="H14" i="28"/>
  <c r="H15" i="28"/>
  <c r="H10" i="28"/>
  <c r="I77" i="27" l="1"/>
  <c r="I74" i="27"/>
  <c r="I141" i="27"/>
  <c r="I11" i="10" l="1"/>
  <c r="H24" i="22" l="1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F144" i="27" l="1"/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1" i="22"/>
  <c r="H20" i="22"/>
  <c r="H19" i="22"/>
  <c r="I15" i="10"/>
  <c r="I14" i="10"/>
  <c r="I13" i="10"/>
  <c r="I12" i="10"/>
  <c r="I10" i="10"/>
  <c r="H38" i="22" l="1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E11" i="22"/>
</calcChain>
</file>

<file path=xl/sharedStrings.xml><?xml version="1.0" encoding="utf-8"?>
<sst xmlns="http://schemas.openxmlformats.org/spreadsheetml/2006/main" count="1013" uniqueCount="789">
  <si>
    <t>План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</si>
  <si>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</si>
  <si>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</si>
  <si>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</si>
  <si>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</si>
  <si>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</si>
  <si>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</si>
  <si>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</si>
  <si>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</si>
  <si>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</si>
  <si>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</si>
  <si>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</si>
  <si>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</si>
  <si>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</si>
  <si>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</si>
  <si>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</si>
  <si>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</si>
  <si>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</si>
  <si>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</si>
  <si>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</si>
  <si>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</si>
  <si>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</si>
  <si>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</si>
  <si>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</si>
  <si>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</si>
  <si>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</si>
  <si>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</si>
  <si>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</si>
  <si>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</si>
  <si>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</si>
  <si>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</si>
  <si>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</si>
  <si>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</si>
  <si>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</si>
  <si>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</si>
  <si>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</si>
  <si>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</si>
  <si>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</si>
  <si>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</si>
  <si>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</si>
  <si>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</si>
  <si>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</si>
  <si>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</si>
  <si>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</si>
  <si>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</si>
  <si>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</si>
  <si>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</si>
  <si>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</si>
  <si>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</si>
  <si>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</si>
  <si>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</si>
  <si>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</si>
  <si>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</si>
  <si>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</si>
  <si>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</si>
  <si>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</si>
  <si>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</si>
  <si>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</si>
  <si>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</si>
  <si>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</si>
  <si>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</si>
  <si>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</si>
  <si>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</si>
  <si>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</si>
  <si>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</si>
  <si>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</si>
  <si>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</si>
  <si>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</si>
  <si>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</si>
  <si>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</si>
  <si>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</si>
  <si>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</si>
  <si>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</si>
  <si>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</si>
  <si>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</si>
  <si>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</si>
  <si>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</si>
  <si>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</si>
  <si>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</si>
  <si>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</si>
  <si>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</si>
  <si>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</si>
  <si>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</si>
  <si>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</si>
  <si>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</si>
  <si>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</si>
  <si>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</si>
  <si>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</si>
  <si>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</si>
  <si>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</si>
  <si>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</si>
  <si>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</si>
  <si>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</si>
  <si>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</si>
  <si>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</si>
  <si>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</si>
  <si>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</si>
  <si>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</si>
  <si>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</si>
  <si>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</si>
  <si>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</si>
  <si>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</si>
  <si>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</si>
  <si>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</si>
  <si>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</si>
  <si>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</si>
  <si>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</si>
  <si>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</si>
  <si>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</si>
  <si>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</si>
  <si>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</si>
  <si>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</si>
  <si>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</si>
  <si>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</si>
  <si>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</si>
  <si>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</si>
  <si>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</si>
  <si>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</si>
  <si>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</si>
  <si>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</si>
  <si>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</si>
  <si>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</si>
  <si>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</si>
  <si>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</si>
  <si>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</si>
  <si>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</si>
  <si>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</si>
  <si>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</si>
  <si>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</si>
  <si>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</si>
  <si>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</si>
  <si>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</si>
  <si>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</si>
  <si>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</si>
  <si>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</si>
  <si>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</si>
  <si>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</si>
  <si>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</si>
  <si>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</si>
  <si>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</si>
  <si>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</si>
  <si>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</si>
  <si>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</si>
  <si>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</si>
  <si>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</si>
  <si>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</si>
  <si>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</si>
  <si>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</si>
  <si>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</si>
  <si>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</si>
  <si>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</si>
  <si>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</si>
  <si>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</si>
  <si>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</si>
  <si>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</si>
  <si>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</si>
  <si>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</si>
  <si>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</si>
  <si>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</si>
  <si>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</si>
  <si>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</si>
  <si>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</si>
  <si>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</si>
  <si>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</si>
  <si>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</si>
  <si>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</si>
  <si>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</si>
  <si>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</si>
  <si>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</si>
  <si>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</si>
  <si>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</si>
  <si>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</si>
  <si>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</si>
  <si>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</si>
  <si>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</si>
  <si>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</si>
  <si>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</si>
  <si>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</si>
  <si>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</si>
  <si>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</si>
  <si>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</si>
  <si>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</si>
  <si>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</si>
  <si>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</si>
  <si>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</si>
  <si>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</si>
  <si>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</si>
  <si>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</si>
  <si>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</si>
  <si>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</si>
  <si>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</si>
  <si>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</si>
  <si>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</si>
  <si>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</si>
  <si>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</si>
  <si>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</si>
  <si>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</si>
  <si>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</si>
  <si>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</si>
  <si>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</si>
  <si>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</si>
  <si>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</si>
  <si>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</si>
  <si>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</si>
  <si>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</si>
  <si>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</si>
  <si>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</si>
  <si>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</si>
  <si>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</si>
  <si>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</si>
  <si>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</si>
  <si>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</si>
  <si>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</si>
  <si>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</si>
  <si>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</si>
  <si>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</si>
  <si>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</si>
  <si>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</si>
  <si>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</si>
  <si>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</si>
  <si>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</si>
  <si>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</si>
  <si>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</si>
  <si>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</si>
  <si>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</si>
  <si>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</si>
  <si>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</si>
  <si>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</si>
  <si>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</si>
  <si>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</si>
  <si>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</si>
  <si>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</si>
  <si>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</si>
  <si>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</si>
  <si>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</si>
  <si>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</si>
  <si>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</si>
  <si>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</si>
  <si>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</si>
  <si>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</si>
  <si>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</si>
  <si>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</si>
  <si>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</si>
  <si>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</si>
  <si>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</si>
  <si>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</si>
  <si>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</si>
  <si>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</si>
  <si>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</si>
  <si>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</si>
  <si>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</si>
  <si>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</si>
  <si>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</si>
  <si>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</si>
  <si>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</si>
  <si>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</si>
  <si>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</si>
  <si>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</si>
  <si>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</si>
  <si>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</si>
  <si>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</si>
  <si>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</si>
  <si>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</si>
  <si>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</si>
  <si>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</si>
  <si>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</si>
  <si>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</si>
  <si>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</si>
  <si>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</si>
  <si>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</si>
  <si>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</si>
  <si>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</si>
  <si>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</si>
  <si>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</si>
  <si>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</si>
  <si>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</si>
  <si>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</si>
  <si>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</si>
  <si>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</si>
  <si>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</si>
  <si>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</si>
  <si>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</si>
  <si>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</si>
  <si>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</si>
  <si>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</si>
  <si>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</si>
  <si>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</si>
  <si>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</si>
  <si>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</si>
  <si>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</si>
  <si>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</si>
  <si>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</si>
  <si>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</si>
  <si>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</si>
  <si>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</si>
  <si>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</si>
  <si>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</si>
  <si>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</si>
  <si>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</si>
  <si>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</si>
  <si>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</si>
  <si>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</si>
  <si>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</si>
  <si>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</si>
  <si>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</si>
  <si>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</si>
  <si>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</si>
  <si>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</si>
  <si>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</si>
  <si>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</si>
  <si>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</si>
  <si>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</si>
  <si>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</si>
  <si>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</si>
  <si>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</si>
  <si>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</si>
  <si>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</si>
  <si>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</si>
  <si>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</si>
  <si>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</si>
  <si>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</si>
  <si>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</si>
  <si>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</si>
  <si>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</si>
  <si>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</si>
  <si>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</si>
  <si>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</si>
  <si>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</si>
  <si>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</si>
  <si>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</si>
  <si>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</si>
  <si>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</si>
  <si>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</si>
  <si>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</si>
  <si>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</si>
  <si>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</si>
  <si>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</si>
  <si>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</si>
  <si>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</si>
  <si>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</si>
  <si>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</si>
  <si>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</si>
  <si>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</si>
  <si>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</si>
  <si>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</si>
  <si>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</si>
  <si>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</si>
  <si>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</si>
  <si>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</si>
  <si>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</si>
  <si>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</si>
  <si>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</si>
  <si>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</si>
  <si>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</si>
  <si>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</si>
  <si>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</si>
  <si>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</si>
  <si>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</si>
  <si>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</si>
  <si>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</si>
  <si>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</si>
  <si>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</si>
  <si>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</si>
  <si>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</si>
  <si>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</si>
  <si>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</si>
  <si>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</si>
  <si>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</si>
  <si>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</si>
  <si>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</si>
  <si>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</si>
  <si>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</si>
  <si>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</si>
  <si>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</si>
  <si>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</si>
  <si>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</si>
  <si>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</si>
  <si>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</si>
  <si>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</si>
  <si>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</si>
  <si>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</si>
  <si>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</si>
  <si>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</si>
  <si>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</si>
  <si>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</si>
  <si>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</si>
  <si>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</si>
  <si>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</si>
  <si>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</si>
  <si>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</si>
  <si>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</si>
  <si>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</si>
  <si>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</si>
  <si>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</si>
  <si>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</si>
  <si>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</si>
  <si>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</si>
  <si>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</si>
  <si>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</si>
  <si>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</si>
  <si>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</si>
  <si>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</si>
  <si>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</si>
  <si>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</si>
  <si>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</si>
  <si>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</si>
  <si>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</si>
  <si>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</si>
  <si>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</si>
  <si>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</si>
  <si>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</si>
  <si>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</si>
  <si>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</si>
  <si>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</si>
  <si>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</si>
  <si>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</si>
  <si>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</si>
  <si>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</si>
  <si>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</si>
  <si>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</si>
  <si>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</si>
  <si>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</si>
  <si>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</si>
  <si>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</si>
  <si>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</si>
  <si>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</si>
  <si>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</si>
  <si>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</si>
  <si>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</si>
  <si>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</si>
  <si>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</si>
  <si>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</si>
  <si>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</si>
  <si>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</si>
  <si>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</si>
  <si>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</si>
  <si>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</si>
  <si>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</si>
  <si>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</si>
  <si>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</si>
  <si>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</si>
  <si>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</si>
  <si>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</si>
  <si>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</si>
  <si>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</si>
  <si>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</si>
  <si>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</si>
  <si>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</si>
  <si>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</si>
  <si>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</si>
  <si>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</si>
  <si>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</si>
  <si>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</si>
  <si>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</si>
  <si>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</si>
  <si>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</si>
  <si>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</si>
  <si>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</si>
  <si>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</si>
  <si>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</si>
  <si>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</si>
  <si>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</si>
  <si>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</si>
  <si>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</si>
  <si>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</si>
  <si>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</si>
  <si>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</si>
  <si>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</si>
  <si>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</si>
  <si>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</si>
  <si>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</si>
  <si>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</si>
  <si>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</si>
  <si>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</si>
  <si>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</si>
  <si>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</si>
  <si>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</si>
  <si>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</si>
  <si>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</si>
  <si>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</si>
  <si>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</si>
  <si>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</si>
  <si>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</si>
  <si>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</si>
  <si>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</si>
  <si>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</si>
  <si>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</si>
  <si>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</si>
  <si>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</si>
  <si>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</si>
  <si>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</si>
  <si>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</si>
  <si>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</si>
  <si>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</si>
  <si>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</si>
  <si>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</si>
  <si>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</si>
  <si>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</si>
  <si>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</si>
  <si>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</si>
  <si>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</si>
  <si>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</si>
  <si>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</si>
  <si>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</si>
  <si>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</si>
  <si>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</si>
  <si>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</si>
  <si>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</si>
  <si>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</si>
  <si>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</si>
  <si>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</si>
  <si>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</si>
  <si>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</si>
  <si>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</si>
  <si>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</si>
  <si>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</si>
  <si>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</si>
  <si>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</si>
  <si>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</si>
  <si>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</si>
  <si>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</si>
  <si>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</si>
  <si>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</si>
  <si>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</si>
  <si>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</si>
  <si>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</si>
  <si>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</si>
  <si>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</si>
  <si>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</si>
  <si>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</si>
  <si>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</si>
  <si>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</si>
  <si>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</si>
  <si>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</si>
  <si>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</si>
  <si>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</si>
  <si>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</si>
  <si>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</si>
  <si>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</si>
  <si>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</si>
  <si>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</si>
  <si>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</si>
  <si>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</si>
  <si>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</si>
  <si>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</si>
  <si>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</si>
  <si>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</si>
  <si>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</si>
  <si>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</si>
  <si>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</si>
  <si>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</si>
  <si>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</si>
  <si>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</si>
  <si>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</si>
  <si>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</si>
  <si>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</si>
  <si>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</si>
  <si>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</si>
  <si>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</si>
  <si>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</si>
  <si>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</si>
  <si>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</si>
  <si>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</si>
  <si>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</si>
  <si>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</si>
  <si>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</si>
  <si>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</si>
  <si>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</si>
  <si>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</si>
  <si>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</si>
  <si>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</si>
  <si>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</si>
  <si>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</si>
  <si>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</si>
  <si>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</si>
  <si>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</si>
  <si>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</si>
  <si>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</si>
  <si>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</si>
  <si>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</si>
  <si>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</si>
  <si>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</si>
  <si>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</si>
  <si>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</si>
  <si>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</si>
  <si>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</si>
  <si>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</si>
  <si>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</si>
  <si>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</si>
  <si>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</si>
  <si>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</si>
  <si>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</si>
  <si>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</si>
  <si>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</si>
  <si>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</si>
  <si>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</si>
  <si>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</si>
  <si>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</si>
  <si>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</si>
  <si>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</si>
  <si>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</si>
  <si>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</si>
  <si>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</si>
  <si>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</si>
  <si>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</si>
  <si>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</si>
  <si>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</si>
  <si>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</si>
  <si>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</si>
  <si>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</si>
  <si>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</si>
  <si>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</si>
  <si>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</si>
  <si>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</si>
  <si>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</si>
  <si>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</si>
  <si>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</si>
  <si>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</si>
  <si>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</si>
  <si>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</si>
  <si>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</si>
  <si>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</si>
  <si>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</si>
  <si>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</si>
  <si>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</si>
  <si>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</si>
  <si>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</si>
  <si>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</si>
  <si>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</si>
  <si>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</si>
  <si>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</si>
  <si>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</si>
  <si>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</si>
  <si>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</si>
  <si>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</si>
  <si>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</si>
  <si>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</si>
  <si>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</si>
  <si>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</si>
  <si>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</si>
  <si>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</si>
  <si>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</si>
  <si>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</si>
  <si>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</si>
  <si>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</si>
  <si>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</si>
  <si>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</si>
  <si>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</si>
  <si>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</si>
  <si>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</si>
  <si>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</si>
  <si>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</si>
  <si>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</si>
  <si>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</si>
  <si>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</si>
  <si>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</si>
  <si>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</si>
  <si>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</si>
  <si>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</si>
  <si>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</si>
  <si>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</si>
  <si>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</si>
  <si>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</si>
  <si>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</si>
  <si>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</si>
  <si>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</si>
  <si>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</si>
  <si>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</si>
  <si>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</si>
  <si>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</si>
  <si>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</si>
  <si>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</si>
  <si>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</si>
  <si>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</si>
  <si>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</si>
  <si>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</si>
  <si>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</si>
  <si>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</si>
  <si>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</si>
  <si>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</si>
  <si>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</si>
  <si>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</si>
  <si>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</si>
  <si>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</si>
  <si>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</si>
  <si>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</si>
  <si>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</si>
  <si>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</si>
  <si>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</si>
  <si>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</si>
  <si>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</si>
  <si>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</si>
  <si>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</si>
  <si>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</si>
  <si>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</si>
  <si>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</si>
  <si>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</si>
  <si>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</si>
  <si>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</si>
  <si>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</si>
  <si>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</si>
  <si>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</si>
  <si>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</si>
  <si>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</si>
  <si>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</si>
  <si>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</si>
  <si>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</si>
  <si>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</si>
  <si>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</si>
  <si>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</si>
  <si>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</si>
  <si>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</si>
  <si>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</si>
  <si>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</si>
  <si>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ИНТЕЗА</t>
  </si>
  <si>
    <t xml:space="preserve"> ИНТЕЗА  </t>
  </si>
  <si>
    <t xml:space="preserve">ИНТЕЗА  </t>
  </si>
  <si>
    <t>од чега за капиталне пројекте</t>
  </si>
  <si>
    <t>Текући рачуни</t>
  </si>
  <si>
    <t>Девизни рачун</t>
  </si>
  <si>
    <t>Благајна</t>
  </si>
  <si>
    <t>Споразуман,раскидс</t>
  </si>
  <si>
    <t>Отказ</t>
  </si>
  <si>
    <t>Повећан обим поссла</t>
  </si>
  <si>
    <t>Набавка опреме</t>
  </si>
  <si>
    <t>II. ПРИХОДИ ОД ПРОДАЈЕ ПРОИЗВОДА И УСЛУГА (1006 + 1007)</t>
  </si>
  <si>
    <t>ОПРЕМА</t>
  </si>
  <si>
    <t>ЕУР</t>
  </si>
  <si>
    <t>НЕ</t>
  </si>
  <si>
    <t>OPREMA</t>
  </si>
  <si>
    <t>EUR</t>
  </si>
  <si>
    <t>УКУПНО</t>
  </si>
  <si>
    <t>Технолошки вишак</t>
  </si>
  <si>
    <t>Пензија</t>
  </si>
  <si>
    <t>Формирање нове службе</t>
  </si>
  <si>
    <t>Стање на дан 
31.12.2024.
Претходна година</t>
  </si>
  <si>
    <t>Планирано стање 
на дан 31.12.2025. Текућа година</t>
  </si>
  <si>
    <t>Реализација
01.01-31.12.2024.
Претходна година</t>
  </si>
  <si>
    <t>План за                         01.01.- 31.12.2025. Текућа година</t>
  </si>
  <si>
    <t>Реализација 
01.01-31.12.2024.      Претходна година</t>
  </si>
  <si>
    <t>План за
01.01-31.12.2025.             Текућа година</t>
  </si>
  <si>
    <t>Стање на дан 31.12.2024. године*</t>
  </si>
  <si>
    <t>План за
01.01-31.12.2024.             Претходна  година</t>
  </si>
  <si>
    <t>31.12.2024. (претходна година)</t>
  </si>
  <si>
    <t>31.03.2025.</t>
  </si>
  <si>
    <t>30.06.2025.</t>
  </si>
  <si>
    <t>30.09.2025.</t>
  </si>
  <si>
    <t>31.12.2025.</t>
  </si>
  <si>
    <t>Реализовано закључно са 31.12.2024*</t>
  </si>
  <si>
    <t>План 2025** година</t>
  </si>
  <si>
    <t>ПОТРАЖИВАЊА за 2025. годииу*</t>
  </si>
  <si>
    <t>на дан 31.03.2025</t>
  </si>
  <si>
    <t>на дан 30.06.2025</t>
  </si>
  <si>
    <t>на дан 30.09.2025</t>
  </si>
  <si>
    <t>на дан 31.12.2025</t>
  </si>
  <si>
    <t>ОБАВЕЗЕ за 2025. годииу*</t>
  </si>
  <si>
    <t>на дан 31.12.2025.</t>
  </si>
  <si>
    <t>Укупан број спорова у 2025*</t>
  </si>
  <si>
    <t>Попуњавање упражњеног радн. Места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</si>
  <si>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</si>
  <si>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01.01 -30.06.2025. године*</t>
  </si>
  <si>
    <t>Смрт</t>
  </si>
  <si>
    <t>Послови ван делатности послодавца</t>
  </si>
  <si>
    <t>Прелазак са одређеног на неодређени р.о.</t>
  </si>
  <si>
    <t>за период од 01.01. до 31.12.2025. године*</t>
  </si>
  <si>
    <t>01.01-31.12..2025. године*</t>
  </si>
  <si>
    <t>БИЛАНС СТАЊА  на дан 31.12.2025.године</t>
  </si>
  <si>
    <t>Проценат реализације (реализација / план 31.12.2025.</t>
  </si>
  <si>
    <t>Проценат реализације (реализација / план 31.12.2025*)</t>
  </si>
  <si>
    <t>01.01.-31.12.2025. године</t>
  </si>
  <si>
    <t>у периоду од 01.01. до 31.12.2025. године</t>
  </si>
  <si>
    <t>01.01-31.12.2025.године</t>
  </si>
  <si>
    <t>Проценат реализације (реализација / план 31.12.2025.)</t>
  </si>
  <si>
    <t>01.01-31.12.2025. године*</t>
  </si>
  <si>
    <t>Проценат реализације (реализација /                   план31.12.2025.)</t>
  </si>
  <si>
    <t>Стање на дан 31.12.2025. године**</t>
  </si>
  <si>
    <t>7.</t>
  </si>
  <si>
    <t>Истек уговора</t>
  </si>
  <si>
    <t>Распон планираних и исплаћених зарада у периоду 01.01. до 31.12.2025.*</t>
  </si>
  <si>
    <t>01.01  -31.12.2025.године*</t>
  </si>
  <si>
    <t>Проценат реализације (реализација /                   план 31.12.2025. *)</t>
  </si>
  <si>
    <r>
      <t xml:space="preserve">Стање кредитне задужености 
на </t>
    </r>
    <r>
      <rPr>
        <sz val="11"/>
        <rFont val="Times New Roman"/>
        <family val="1"/>
      </rPr>
      <t>31.12.2025.</t>
    </r>
    <r>
      <rPr>
        <b/>
        <sz val="12"/>
        <rFont val="Times New Roman"/>
        <family val="1"/>
      </rPr>
      <t xml:space="preserve"> године* у оригиналној валути</t>
    </r>
  </si>
  <si>
    <r>
      <t xml:space="preserve">Стање кредитне задужености 
на </t>
    </r>
    <r>
      <rPr>
        <sz val="11"/>
        <rFont val="Times New Roman"/>
        <family val="1"/>
      </rPr>
      <t>31.12.2025</t>
    </r>
    <r>
      <rPr>
        <b/>
        <sz val="12"/>
        <rFont val="Times New Roman"/>
        <family val="1"/>
      </rPr>
      <t>.године* у динарима</t>
    </r>
  </si>
  <si>
    <t>ЕУР 117,282</t>
  </si>
  <si>
    <t>22.09.2025.</t>
  </si>
  <si>
    <t>02-00077/2025-01</t>
  </si>
  <si>
    <t>ODLUKA SKUPŠTINE OPŠTINE ČAJETINA-ODLUKA O BUDŽETU</t>
  </si>
  <si>
    <t>06-70-1/2025-01</t>
  </si>
  <si>
    <t>ZAKLJUČAK O UPLATI DOBITI U BUDŽET OPŠTINE ČAJETINA-OPŠTINSKO VEĆE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</si>
</sst>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dd/mm/yyyy;@"/>
    <numFmt numFmtId="166" formatCode="0.0000"/>
  </numFmts>
  <fonts count="4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sz val="9"/>
      <name val="Arial"/>
      <family val="2"/>
    </font>
    <font>
      <sz val="10"/>
      <color rgb="FF000000"/>
      <name val="Times New Roman"/>
      <family val="1"/>
      <charset val="238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9" fontId="27" fillId="0" borderId="0" applyFont="0" applyFill="0" applyBorder="0" applyAlignment="0" applyProtection="0"/>
    <xf numFmtId="0" fontId="2" fillId="0" borderId="0"/>
    <xf numFmtId="0" fontId="27" fillId="0" borderId="0"/>
    <xf numFmtId="0" fontId="1" fillId="0" borderId="0"/>
    <xf numFmtId="0" fontId="46" fillId="0" borderId="0"/>
    <xf numFmtId="0" fontId="1" fillId="0" borderId="0"/>
  </cellStyleXfs>
  <cellXfs count="766">
    <xf numFmtId="0" fontId="0" fillId="0" borderId="0" xfId="0"/>
    <xf numFmtId="0" fontId="4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9" fillId="0" borderId="1" xfId="0" applyFont="1" applyBorder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17" xfId="0" applyFont="1" applyBorder="1"/>
    <xf numFmtId="0" fontId="8" fillId="0" borderId="18" xfId="0" applyFont="1" applyBorder="1"/>
    <xf numFmtId="0" fontId="9" fillId="0" borderId="2" xfId="0" applyFont="1" applyBorder="1"/>
    <xf numFmtId="0" fontId="13" fillId="2" borderId="32" xfId="0" applyFont="1" applyFill="1" applyBorder="1"/>
    <xf numFmtId="0" fontId="13" fillId="2" borderId="4" xfId="0" applyFont="1" applyFill="1" applyBorder="1"/>
    <xf numFmtId="0" fontId="13" fillId="2" borderId="31" xfId="0" applyFont="1" applyFill="1" applyBorder="1"/>
    <xf numFmtId="0" fontId="9" fillId="0" borderId="27" xfId="0" applyFont="1" applyBorder="1"/>
    <xf numFmtId="0" fontId="9" fillId="0" borderId="0" xfId="0" applyFont="1" applyFill="1" applyBorder="1"/>
    <xf numFmtId="0" fontId="15" fillId="0" borderId="0" xfId="0" applyFont="1" applyAlignment="1">
      <alignment horizontal="right"/>
    </xf>
    <xf numFmtId="0" fontId="9" fillId="2" borderId="0" xfId="0" applyFont="1" applyFill="1" applyBorder="1" applyAlignment="1">
      <alignment horizontal="right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left" vertical="center"/>
    </xf>
    <xf numFmtId="3" fontId="20" fillId="2" borderId="30" xfId="0" applyNumberFormat="1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9" fillId="0" borderId="14" xfId="0" applyFont="1" applyBorder="1"/>
    <xf numFmtId="3" fontId="17" fillId="2" borderId="22" xfId="0" applyNumberFormat="1" applyFont="1" applyFill="1" applyBorder="1" applyAlignment="1">
      <alignment horizontal="right" vertical="center" wrapText="1"/>
    </xf>
    <xf numFmtId="3" fontId="17" fillId="2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/>
    </xf>
    <xf numFmtId="1" fontId="9" fillId="0" borderId="0" xfId="0" applyNumberFormat="1" applyFont="1" applyBorder="1"/>
    <xf numFmtId="165" fontId="9" fillId="0" borderId="0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9" fillId="0" borderId="1" xfId="0" applyNumberFormat="1" applyFont="1" applyBorder="1"/>
    <xf numFmtId="9" fontId="8" fillId="0" borderId="0" xfId="0" applyNumberFormat="1" applyFont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32" fillId="2" borderId="0" xfId="0" applyFont="1" applyFill="1" applyAlignment="1">
      <alignment horizontal="right" vertical="center"/>
    </xf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8" fillId="2" borderId="64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9" fillId="2" borderId="23" xfId="0" applyFont="1" applyFill="1" applyBorder="1"/>
    <xf numFmtId="0" fontId="34" fillId="2" borderId="4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3" fontId="17" fillId="2" borderId="69" xfId="0" applyNumberFormat="1" applyFont="1" applyFill="1" applyBorder="1" applyAlignment="1">
      <alignment horizontal="center" vertical="center" wrapText="1"/>
    </xf>
    <xf numFmtId="3" fontId="17" fillId="2" borderId="22" xfId="0" applyNumberFormat="1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right" vertical="center"/>
    </xf>
    <xf numFmtId="3" fontId="27" fillId="2" borderId="1" xfId="0" applyNumberFormat="1" applyFont="1" applyFill="1" applyBorder="1" applyAlignment="1">
      <alignment horizontal="right" vertical="center"/>
    </xf>
    <xf numFmtId="3" fontId="17" fillId="2" borderId="29" xfId="0" applyNumberFormat="1" applyFont="1" applyFill="1" applyBorder="1" applyAlignment="1">
      <alignment horizontal="right" vertical="center"/>
    </xf>
    <xf numFmtId="3" fontId="27" fillId="2" borderId="5" xfId="0" applyNumberFormat="1" applyFont="1" applyFill="1" applyBorder="1" applyAlignment="1">
      <alignment horizontal="right" vertical="center"/>
    </xf>
    <xf numFmtId="3" fontId="17" fillId="2" borderId="5" xfId="0" applyNumberFormat="1" applyFont="1" applyFill="1" applyBorder="1" applyAlignment="1">
      <alignment horizontal="right" vertical="center"/>
    </xf>
    <xf numFmtId="0" fontId="17" fillId="2" borderId="23" xfId="0" applyFont="1" applyFill="1" applyBorder="1"/>
    <xf numFmtId="0" fontId="17" fillId="2" borderId="0" xfId="0" applyFont="1" applyFill="1" applyBorder="1"/>
    <xf numFmtId="0" fontId="16" fillId="2" borderId="0" xfId="0" applyFont="1" applyFill="1" applyAlignment="1">
      <alignment horizontal="right" vertical="center" wrapText="1"/>
    </xf>
    <xf numFmtId="0" fontId="8" fillId="2" borderId="64" xfId="0" applyFont="1" applyFill="1" applyBorder="1" applyAlignment="1">
      <alignment horizontal="center"/>
    </xf>
    <xf numFmtId="0" fontId="16" fillId="2" borderId="79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/>
    <xf numFmtId="0" fontId="33" fillId="2" borderId="24" xfId="0" applyFont="1" applyFill="1" applyBorder="1" applyAlignment="1">
      <alignment vertical="center" wrapText="1"/>
    </xf>
    <xf numFmtId="0" fontId="34" fillId="2" borderId="10" xfId="0" applyFont="1" applyFill="1" applyBorder="1" applyAlignment="1">
      <alignment horizontal="center" vertical="center" wrapText="1"/>
    </xf>
    <xf numFmtId="3" fontId="34" fillId="2" borderId="11" xfId="0" applyNumberFormat="1" applyFont="1" applyFill="1" applyBorder="1" applyAlignment="1">
      <alignment horizontal="right" vertical="center" wrapText="1"/>
    </xf>
    <xf numFmtId="9" fontId="34" fillId="2" borderId="47" xfId="0" applyNumberFormat="1" applyFont="1" applyFill="1" applyBorder="1" applyAlignment="1">
      <alignment horizontal="right" vertical="center"/>
    </xf>
    <xf numFmtId="0" fontId="9" fillId="2" borderId="0" xfId="0" applyFont="1" applyFill="1" applyAlignment="1"/>
    <xf numFmtId="0" fontId="33" fillId="2" borderId="22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vertical="center" wrapText="1"/>
    </xf>
    <xf numFmtId="0" fontId="33" fillId="2" borderId="81" xfId="0" applyFont="1" applyFill="1" applyBorder="1" applyAlignment="1">
      <alignment vertical="center" wrapText="1"/>
    </xf>
    <xf numFmtId="0" fontId="34" fillId="2" borderId="82" xfId="0" applyFont="1" applyFill="1" applyBorder="1" applyAlignment="1">
      <alignment vertical="center" wrapText="1"/>
    </xf>
    <xf numFmtId="9" fontId="17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4" fillId="2" borderId="0" xfId="0" applyFont="1" applyFill="1" applyBorder="1"/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12" fillId="2" borderId="12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lef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19" xfId="0" applyNumberFormat="1" applyFont="1" applyFill="1" applyBorder="1" applyAlignment="1">
      <alignment horizontal="right" vertical="center" wrapText="1"/>
    </xf>
    <xf numFmtId="3" fontId="12" fillId="2" borderId="24" xfId="0" applyNumberFormat="1" applyFont="1" applyFill="1" applyBorder="1" applyAlignment="1">
      <alignment horizontal="right" vertical="center" wrapText="1"/>
    </xf>
    <xf numFmtId="9" fontId="12" fillId="2" borderId="7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/>
    <xf numFmtId="0" fontId="12" fillId="2" borderId="0" xfId="0" applyFont="1" applyFill="1"/>
    <xf numFmtId="49" fontId="12" fillId="2" borderId="2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2" borderId="6" xfId="0" applyNumberFormat="1" applyFont="1" applyFill="1" applyBorder="1" applyAlignment="1">
      <alignment horizontal="right" vertical="center" wrapText="1"/>
    </xf>
    <xf numFmtId="3" fontId="12" fillId="2" borderId="22" xfId="0" applyNumberFormat="1" applyFont="1" applyFill="1" applyBorder="1" applyAlignment="1">
      <alignment horizontal="right" vertical="center" wrapText="1"/>
    </xf>
    <xf numFmtId="9" fontId="12" fillId="2" borderId="71" xfId="0" applyNumberFormat="1" applyFont="1" applyFill="1" applyBorder="1" applyAlignment="1">
      <alignment horizontal="right" vertical="center" wrapText="1"/>
    </xf>
    <xf numFmtId="49" fontId="12" fillId="2" borderId="1" xfId="1" applyNumberFormat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9" fontId="12" fillId="2" borderId="16" xfId="1" applyNumberFormat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left" vertical="center" wrapText="1"/>
    </xf>
    <xf numFmtId="3" fontId="12" fillId="2" borderId="31" xfId="0" applyNumberFormat="1" applyFont="1" applyFill="1" applyBorder="1" applyAlignment="1">
      <alignment horizontal="right" vertical="center" wrapText="1"/>
    </xf>
    <xf numFmtId="3" fontId="12" fillId="2" borderId="25" xfId="0" applyNumberFormat="1" applyFont="1" applyFill="1" applyBorder="1" applyAlignment="1">
      <alignment horizontal="right" vertical="center" wrapText="1"/>
    </xf>
    <xf numFmtId="3" fontId="12" fillId="2" borderId="65" xfId="0" applyNumberFormat="1" applyFont="1" applyFill="1" applyBorder="1" applyAlignment="1">
      <alignment horizontal="right" vertical="center" wrapText="1"/>
    </xf>
    <xf numFmtId="9" fontId="12" fillId="2" borderId="46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49" fontId="12" fillId="2" borderId="75" xfId="0" applyNumberFormat="1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3" fontId="12" fillId="2" borderId="75" xfId="0" applyNumberFormat="1" applyFont="1" applyFill="1" applyBorder="1" applyAlignment="1">
      <alignment horizontal="center"/>
    </xf>
    <xf numFmtId="3" fontId="12" fillId="2" borderId="73" xfId="0" applyNumberFormat="1" applyFont="1" applyFill="1" applyBorder="1" applyAlignment="1">
      <alignment horizontal="center"/>
    </xf>
    <xf numFmtId="3" fontId="12" fillId="2" borderId="71" xfId="0" applyNumberFormat="1" applyFont="1" applyFill="1" applyBorder="1" applyAlignment="1">
      <alignment horizontal="center"/>
    </xf>
    <xf numFmtId="3" fontId="12" fillId="2" borderId="28" xfId="0" applyNumberFormat="1" applyFont="1" applyFill="1" applyBorder="1" applyAlignment="1">
      <alignment horizontal="center"/>
    </xf>
    <xf numFmtId="0" fontId="12" fillId="2" borderId="75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/>
    <xf numFmtId="3" fontId="12" fillId="2" borderId="1" xfId="0" applyNumberFormat="1" applyFont="1" applyFill="1" applyBorder="1"/>
    <xf numFmtId="3" fontId="12" fillId="2" borderId="6" xfId="0" applyNumberFormat="1" applyFont="1" applyFill="1" applyBorder="1"/>
    <xf numFmtId="3" fontId="12" fillId="2" borderId="22" xfId="0" applyNumberFormat="1" applyFont="1" applyFill="1" applyBorder="1"/>
    <xf numFmtId="0" fontId="12" fillId="2" borderId="75" xfId="0" applyFont="1" applyFill="1" applyBorder="1" applyAlignment="1">
      <alignment horizontal="left" vertical="center" wrapText="1"/>
    </xf>
    <xf numFmtId="49" fontId="12" fillId="2" borderId="77" xfId="0" applyNumberFormat="1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0" xfId="0" applyFont="1" applyFill="1"/>
    <xf numFmtId="3" fontId="7" fillId="2" borderId="64" xfId="0" applyNumberFormat="1" applyFont="1" applyFill="1" applyBorder="1" applyAlignment="1">
      <alignment horizontal="center" vertical="center"/>
    </xf>
    <xf numFmtId="3" fontId="7" fillId="2" borderId="76" xfId="0" applyNumberFormat="1" applyFont="1" applyFill="1" applyBorder="1" applyAlignment="1">
      <alignment horizontal="center" vertical="center"/>
    </xf>
    <xf numFmtId="3" fontId="7" fillId="2" borderId="5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Border="1" applyAlignment="1">
      <alignment horizontal="right" wrapText="1"/>
    </xf>
    <xf numFmtId="0" fontId="0" fillId="2" borderId="0" xfId="0" applyFill="1" applyBorder="1"/>
    <xf numFmtId="0" fontId="17" fillId="2" borderId="64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right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right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10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64" xfId="0" applyFont="1" applyFill="1" applyBorder="1"/>
    <xf numFmtId="0" fontId="9" fillId="2" borderId="64" xfId="0" applyFont="1" applyFill="1" applyBorder="1" applyAlignment="1">
      <alignment horizontal="right"/>
    </xf>
    <xf numFmtId="0" fontId="14" fillId="2" borderId="0" xfId="0" applyFont="1" applyFill="1"/>
    <xf numFmtId="0" fontId="8" fillId="2" borderId="3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28" fillId="2" borderId="66" xfId="0" applyFont="1" applyFill="1" applyBorder="1" applyAlignment="1">
      <alignment horizontal="left" vertical="center"/>
    </xf>
    <xf numFmtId="3" fontId="9" fillId="2" borderId="66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left" vertical="center" wrapText="1"/>
    </xf>
    <xf numFmtId="0" fontId="28" fillId="2" borderId="66" xfId="0" applyFont="1" applyFill="1" applyBorder="1" applyAlignment="1">
      <alignment horizontal="left" vertical="center" wrapText="1"/>
    </xf>
    <xf numFmtId="0" fontId="28" fillId="2" borderId="67" xfId="0" applyFont="1" applyFill="1" applyBorder="1" applyAlignment="1">
      <alignment horizontal="left" vertical="center" wrapText="1"/>
    </xf>
    <xf numFmtId="3" fontId="9" fillId="2" borderId="67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57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64" xfId="0" applyFont="1" applyFill="1" applyBorder="1"/>
    <xf numFmtId="0" fontId="8" fillId="2" borderId="3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textRotation="90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left" vertical="center" wrapText="1"/>
    </xf>
    <xf numFmtId="3" fontId="19" fillId="2" borderId="18" xfId="0" applyNumberFormat="1" applyFont="1" applyFill="1" applyBorder="1" applyAlignment="1">
      <alignment horizontal="right" vertical="center" wrapText="1"/>
    </xf>
    <xf numFmtId="9" fontId="19" fillId="2" borderId="19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9" fontId="19" fillId="2" borderId="6" xfId="0" applyNumberFormat="1" applyFont="1" applyFill="1" applyBorder="1" applyAlignment="1">
      <alignment horizontal="right" vertical="center" wrapText="1"/>
    </xf>
    <xf numFmtId="49" fontId="19" fillId="2" borderId="3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/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25" fillId="2" borderId="6" xfId="0" applyFont="1" applyFill="1" applyBorder="1"/>
    <xf numFmtId="0" fontId="25" fillId="2" borderId="2" xfId="0" applyFont="1" applyFill="1" applyBorder="1"/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/>
    <xf numFmtId="0" fontId="25" fillId="2" borderId="5" xfId="0" applyFont="1" applyFill="1" applyBorder="1"/>
    <xf numFmtId="0" fontId="25" fillId="2" borderId="3" xfId="0" applyFont="1" applyFill="1" applyBorder="1"/>
    <xf numFmtId="0" fontId="23" fillId="2" borderId="0" xfId="0" applyFont="1" applyFill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9" fontId="20" fillId="2" borderId="33" xfId="0" applyNumberFormat="1" applyFont="1" applyFill="1" applyBorder="1" applyAlignment="1">
      <alignment horizontal="center" vertical="center" wrapText="1"/>
    </xf>
    <xf numFmtId="3" fontId="20" fillId="2" borderId="18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9" fontId="20" fillId="2" borderId="22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9" fontId="20" fillId="2" borderId="65" xfId="0" applyNumberFormat="1" applyFont="1" applyFill="1" applyBorder="1" applyAlignment="1">
      <alignment horizontal="center" vertical="center" wrapText="1"/>
    </xf>
    <xf numFmtId="3" fontId="20" fillId="2" borderId="31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9" fontId="20" fillId="2" borderId="43" xfId="0" applyNumberFormat="1" applyFont="1" applyFill="1" applyBorder="1" applyAlignment="1">
      <alignment horizontal="center" vertical="center"/>
    </xf>
    <xf numFmtId="3" fontId="20" fillId="2" borderId="39" xfId="0" applyNumberFormat="1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9" fontId="20" fillId="2" borderId="22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9" fontId="20" fillId="2" borderId="24" xfId="0" applyNumberFormat="1" applyFont="1" applyFill="1" applyBorder="1" applyAlignment="1">
      <alignment horizontal="center" vertical="center"/>
    </xf>
    <xf numFmtId="3" fontId="20" fillId="2" borderId="10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9" fontId="20" fillId="2" borderId="33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9" fontId="20" fillId="2" borderId="29" xfId="0" applyNumberFormat="1" applyFont="1" applyFill="1" applyBorder="1" applyAlignment="1">
      <alignment horizontal="center" vertical="center"/>
    </xf>
    <xf numFmtId="3" fontId="20" fillId="2" borderId="4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9" fontId="20" fillId="2" borderId="65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8" fillId="2" borderId="64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 wrapText="1"/>
    </xf>
    <xf numFmtId="3" fontId="20" fillId="2" borderId="43" xfId="0" applyNumberFormat="1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vertical="center"/>
    </xf>
    <xf numFmtId="0" fontId="20" fillId="2" borderId="17" xfId="0" applyFont="1" applyFill="1" applyBorder="1" applyAlignment="1">
      <alignment vertical="center"/>
    </xf>
    <xf numFmtId="3" fontId="20" fillId="2" borderId="14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73" xfId="0" applyFont="1" applyFill="1" applyBorder="1" applyAlignment="1">
      <alignment horizontal="center" vertical="center"/>
    </xf>
    <xf numFmtId="3" fontId="20" fillId="2" borderId="3" xfId="0" applyNumberFormat="1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vertical="center"/>
    </xf>
    <xf numFmtId="0" fontId="20" fillId="2" borderId="64" xfId="0" applyFont="1" applyFill="1" applyBorder="1" applyAlignment="1">
      <alignment horizontal="left" vertical="center"/>
    </xf>
    <xf numFmtId="0" fontId="13" fillId="2" borderId="0" xfId="0" applyFont="1" applyFill="1"/>
    <xf numFmtId="49" fontId="13" fillId="2" borderId="0" xfId="0" applyNumberFormat="1" applyFont="1" applyFill="1"/>
    <xf numFmtId="0" fontId="21" fillId="2" borderId="0" xfId="0" applyFont="1" applyFill="1"/>
    <xf numFmtId="49" fontId="21" fillId="2" borderId="0" xfId="0" applyNumberFormat="1" applyFont="1" applyFill="1"/>
    <xf numFmtId="0" fontId="22" fillId="2" borderId="0" xfId="0" applyFont="1" applyFill="1"/>
    <xf numFmtId="0" fontId="21" fillId="2" borderId="0" xfId="0" applyFont="1" applyFill="1" applyBorder="1"/>
    <xf numFmtId="0" fontId="23" fillId="2" borderId="0" xfId="0" applyFont="1" applyFill="1" applyAlignment="1">
      <alignment horizontal="right"/>
    </xf>
    <xf numFmtId="0" fontId="21" fillId="2" borderId="35" xfId="0" applyFont="1" applyFill="1" applyBorder="1" applyAlignment="1">
      <alignment horizontal="center" vertical="center" wrapText="1"/>
    </xf>
    <xf numFmtId="49" fontId="21" fillId="2" borderId="34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49" fontId="21" fillId="2" borderId="33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49" fontId="13" fillId="2" borderId="3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0" fontId="13" fillId="2" borderId="18" xfId="0" applyFont="1" applyFill="1" applyBorder="1"/>
    <xf numFmtId="0" fontId="13" fillId="2" borderId="10" xfId="0" applyFont="1" applyFill="1" applyBorder="1"/>
    <xf numFmtId="49" fontId="13" fillId="2" borderId="2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0" fontId="13" fillId="2" borderId="27" xfId="0" applyFont="1" applyFill="1" applyBorder="1"/>
    <xf numFmtId="49" fontId="4" fillId="2" borderId="0" xfId="0" applyNumberFormat="1" applyFont="1" applyFill="1"/>
    <xf numFmtId="0" fontId="37" fillId="2" borderId="0" xfId="0" applyNumberFormat="1" applyFont="1" applyFill="1" applyAlignment="1" applyProtection="1"/>
    <xf numFmtId="0" fontId="40" fillId="2" borderId="0" xfId="0" applyNumberFormat="1" applyFont="1" applyFill="1" applyAlignment="1" applyProtection="1">
      <alignment horizontal="right"/>
    </xf>
    <xf numFmtId="0" fontId="37" fillId="2" borderId="0" xfId="0" applyNumberFormat="1" applyFont="1" applyFill="1" applyAlignment="1" applyProtection="1">
      <alignment horizontal="right"/>
    </xf>
    <xf numFmtId="0" fontId="37" fillId="2" borderId="92" xfId="0" applyNumberFormat="1" applyFont="1" applyFill="1" applyBorder="1" applyAlignment="1" applyProtection="1">
      <alignment horizontal="center" vertical="center" wrapText="1"/>
    </xf>
    <xf numFmtId="0" fontId="37" fillId="2" borderId="93" xfId="0" applyNumberFormat="1" applyFont="1" applyFill="1" applyBorder="1" applyAlignment="1" applyProtection="1">
      <alignment horizontal="center" vertical="center" wrapText="1"/>
    </xf>
    <xf numFmtId="0" fontId="37" fillId="2" borderId="23" xfId="0" applyNumberFormat="1" applyFont="1" applyFill="1" applyBorder="1" applyAlignment="1" applyProtection="1"/>
    <xf numFmtId="0" fontId="39" fillId="2" borderId="103" xfId="0" applyNumberFormat="1" applyFont="1" applyFill="1" applyBorder="1" applyAlignment="1" applyProtection="1"/>
    <xf numFmtId="4" fontId="39" fillId="2" borderId="96" xfId="0" applyNumberFormat="1" applyFont="1" applyFill="1" applyBorder="1" applyAlignment="1" applyProtection="1">
      <alignment horizontal="center" vertical="center"/>
    </xf>
    <xf numFmtId="4" fontId="39" fillId="2" borderId="97" xfId="0" applyNumberFormat="1" applyFont="1" applyFill="1" applyBorder="1" applyAlignment="1" applyProtection="1">
      <alignment horizontal="center" vertical="center"/>
    </xf>
    <xf numFmtId="4" fontId="39" fillId="2" borderId="102" xfId="0" applyNumberFormat="1" applyFont="1" applyFill="1" applyBorder="1" applyAlignment="1" applyProtection="1">
      <alignment horizontal="center" vertical="center"/>
    </xf>
    <xf numFmtId="4" fontId="39" fillId="2" borderId="92" xfId="0" applyNumberFormat="1" applyFont="1" applyFill="1" applyBorder="1" applyAlignment="1" applyProtection="1">
      <alignment horizontal="center" vertical="center"/>
    </xf>
    <xf numFmtId="0" fontId="9" fillId="2" borderId="52" xfId="0" applyFont="1" applyFill="1" applyBorder="1" applyAlignment="1">
      <alignment vertical="center" wrapText="1"/>
    </xf>
    <xf numFmtId="0" fontId="9" fillId="2" borderId="56" xfId="0" applyFont="1" applyFill="1" applyBorder="1" applyAlignment="1">
      <alignment horizontal="right" vertical="center"/>
    </xf>
    <xf numFmtId="3" fontId="20" fillId="2" borderId="66" xfId="0" applyNumberFormat="1" applyFont="1" applyFill="1" applyBorder="1" applyAlignment="1">
      <alignment horizontal="center" vertical="center"/>
    </xf>
    <xf numFmtId="3" fontId="42" fillId="2" borderId="26" xfId="0" applyNumberFormat="1" applyFont="1" applyFill="1" applyBorder="1" applyAlignment="1">
      <alignment horizontal="center" vertical="center"/>
    </xf>
    <xf numFmtId="3" fontId="31" fillId="2" borderId="26" xfId="0" applyNumberFormat="1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right" vertical="center"/>
    </xf>
    <xf numFmtId="3" fontId="20" fillId="2" borderId="74" xfId="0" applyNumberFormat="1" applyFont="1" applyFill="1" applyBorder="1" applyAlignment="1">
      <alignment horizontal="center" vertical="center"/>
    </xf>
    <xf numFmtId="0" fontId="17" fillId="2" borderId="21" xfId="0" applyFont="1" applyFill="1" applyBorder="1"/>
    <xf numFmtId="3" fontId="30" fillId="2" borderId="26" xfId="0" applyNumberFormat="1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10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3" fontId="20" fillId="2" borderId="35" xfId="0" applyNumberFormat="1" applyFont="1" applyFill="1" applyBorder="1" applyAlignment="1">
      <alignment horizontal="center" vertical="center"/>
    </xf>
    <xf numFmtId="3" fontId="20" fillId="2" borderId="107" xfId="0" applyNumberFormat="1" applyFont="1" applyFill="1" applyBorder="1" applyAlignment="1">
      <alignment horizontal="center" vertical="center"/>
    </xf>
    <xf numFmtId="3" fontId="20" fillId="2" borderId="63" xfId="0" applyNumberFormat="1" applyFont="1" applyFill="1" applyBorder="1" applyAlignment="1">
      <alignment horizontal="center" vertical="center"/>
    </xf>
    <xf numFmtId="0" fontId="17" fillId="2" borderId="64" xfId="0" applyFont="1" applyFill="1" applyBorder="1"/>
    <xf numFmtId="0" fontId="8" fillId="2" borderId="58" xfId="0" applyFont="1" applyFill="1" applyBorder="1" applyAlignment="1">
      <alignment horizontal="center" vertical="center" wrapText="1"/>
    </xf>
    <xf numFmtId="4" fontId="17" fillId="2" borderId="26" xfId="0" applyNumberFormat="1" applyFont="1" applyFill="1" applyBorder="1" applyAlignment="1">
      <alignment horizontal="center" vertical="center"/>
    </xf>
    <xf numFmtId="4" fontId="17" fillId="2" borderId="67" xfId="0" applyNumberFormat="1" applyFont="1" applyFill="1" applyBorder="1" applyAlignment="1">
      <alignment horizontal="center" vertical="center"/>
    </xf>
    <xf numFmtId="0" fontId="20" fillId="2" borderId="0" xfId="0" applyFont="1" applyFill="1"/>
    <xf numFmtId="3" fontId="34" fillId="2" borderId="1" xfId="0" applyNumberFormat="1" applyFont="1" applyFill="1" applyBorder="1" applyAlignment="1">
      <alignment vertical="center" wrapText="1"/>
    </xf>
    <xf numFmtId="3" fontId="17" fillId="2" borderId="47" xfId="0" applyNumberFormat="1" applyFont="1" applyFill="1" applyBorder="1" applyAlignment="1">
      <alignment horizontal="right" vertical="center"/>
    </xf>
    <xf numFmtId="3" fontId="17" fillId="2" borderId="7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19" fillId="2" borderId="1" xfId="0" applyNumberFormat="1" applyFont="1" applyFill="1" applyBorder="1" applyAlignment="1">
      <alignment horizontal="right" vertical="center"/>
    </xf>
    <xf numFmtId="3" fontId="34" fillId="2" borderId="110" xfId="0" applyNumberFormat="1" applyFont="1" applyFill="1" applyBorder="1" applyAlignment="1">
      <alignment horizontal="right" vertical="center"/>
    </xf>
    <xf numFmtId="3" fontId="34" fillId="2" borderId="24" xfId="0" applyNumberFormat="1" applyFont="1" applyFill="1" applyBorder="1" applyAlignment="1">
      <alignment horizontal="right" vertical="center" wrapText="1"/>
    </xf>
    <xf numFmtId="0" fontId="34" fillId="2" borderId="23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right"/>
    </xf>
    <xf numFmtId="3" fontId="19" fillId="2" borderId="24" xfId="0" applyNumberFormat="1" applyFont="1" applyFill="1" applyBorder="1" applyAlignment="1">
      <alignment horizontal="right" vertical="center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68" xfId="0" applyNumberFormat="1" applyFont="1" applyFill="1" applyBorder="1" applyAlignment="1">
      <alignment horizontal="right" vertical="center"/>
    </xf>
    <xf numFmtId="3" fontId="19" fillId="2" borderId="37" xfId="0" applyNumberFormat="1" applyFont="1" applyFill="1" applyBorder="1" applyAlignment="1">
      <alignment horizontal="right" vertical="center"/>
    </xf>
    <xf numFmtId="3" fontId="19" fillId="2" borderId="8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/>
    <xf numFmtId="3" fontId="13" fillId="2" borderId="6" xfId="0" applyNumberFormat="1" applyFont="1" applyFill="1" applyBorder="1"/>
    <xf numFmtId="3" fontId="13" fillId="2" borderId="37" xfId="0" applyNumberFormat="1" applyFont="1" applyFill="1" applyBorder="1"/>
    <xf numFmtId="3" fontId="13" fillId="2" borderId="19" xfId="0" applyNumberFormat="1" applyFont="1" applyFill="1" applyBorder="1"/>
    <xf numFmtId="4" fontId="39" fillId="2" borderId="88" xfId="0" applyNumberFormat="1" applyFont="1" applyFill="1" applyBorder="1" applyAlignment="1" applyProtection="1"/>
    <xf numFmtId="4" fontId="39" fillId="2" borderId="90" xfId="0" applyNumberFormat="1" applyFont="1" applyFill="1" applyBorder="1" applyAlignment="1" applyProtection="1">
      <alignment horizontal="center" vertical="center"/>
    </xf>
    <xf numFmtId="0" fontId="39" fillId="2" borderId="94" xfId="0" applyNumberFormat="1" applyFont="1" applyFill="1" applyBorder="1" applyAlignment="1" applyProtection="1"/>
    <xf numFmtId="4" fontId="39" fillId="2" borderId="1" xfId="0" applyNumberFormat="1" applyFont="1" applyFill="1" applyBorder="1" applyAlignment="1" applyProtection="1"/>
    <xf numFmtId="0" fontId="39" fillId="2" borderId="1" xfId="0" applyNumberFormat="1" applyFont="1" applyFill="1" applyBorder="1" applyAlignment="1" applyProtection="1"/>
    <xf numFmtId="3" fontId="12" fillId="2" borderId="28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/>
    <xf numFmtId="3" fontId="17" fillId="2" borderId="28" xfId="0" applyNumberFormat="1" applyFont="1" applyFill="1" applyBorder="1" applyAlignment="1">
      <alignment horizontal="right" vertical="center"/>
    </xf>
    <xf numFmtId="9" fontId="17" fillId="2" borderId="71" xfId="2" applyFont="1" applyFill="1" applyBorder="1" applyAlignment="1">
      <alignment horizontal="right" vertical="center"/>
    </xf>
    <xf numFmtId="9" fontId="17" fillId="2" borderId="69" xfId="2" applyFont="1" applyFill="1" applyBorder="1" applyAlignment="1">
      <alignment horizontal="right" vertical="center"/>
    </xf>
    <xf numFmtId="0" fontId="17" fillId="2" borderId="0" xfId="0" applyFont="1" applyFill="1" applyAlignment="1"/>
    <xf numFmtId="0" fontId="16" fillId="2" borderId="6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3" fontId="17" fillId="2" borderId="25" xfId="0" applyNumberFormat="1" applyFont="1" applyFill="1" applyBorder="1" applyAlignment="1">
      <alignment horizontal="center" vertical="center"/>
    </xf>
    <xf numFmtId="3" fontId="17" fillId="2" borderId="29" xfId="0" applyNumberFormat="1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3" fontId="17" fillId="2" borderId="64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69" xfId="0" applyNumberFormat="1" applyFont="1" applyFill="1" applyBorder="1" applyAlignment="1">
      <alignment horizontal="center" vertical="center"/>
    </xf>
    <xf numFmtId="49" fontId="33" fillId="2" borderId="2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33" fillId="2" borderId="6" xfId="0" applyFont="1" applyFill="1" applyBorder="1" applyAlignment="1">
      <alignment horizontal="center" vertical="center"/>
    </xf>
    <xf numFmtId="0" fontId="17" fillId="2" borderId="23" xfId="0" applyFont="1" applyFill="1" applyBorder="1" applyAlignment="1"/>
    <xf numFmtId="49" fontId="34" fillId="2" borderId="22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vertical="center"/>
    </xf>
    <xf numFmtId="0" fontId="33" fillId="2" borderId="10" xfId="0" applyFont="1" applyFill="1" applyBorder="1" applyAlignment="1">
      <alignment vertical="center"/>
    </xf>
    <xf numFmtId="0" fontId="34" fillId="2" borderId="27" xfId="0" applyFont="1" applyFill="1" applyBorder="1" applyAlignment="1">
      <alignment vertical="center"/>
    </xf>
    <xf numFmtId="0" fontId="17" fillId="2" borderId="0" xfId="0" applyFont="1" applyFill="1" applyBorder="1" applyAlignment="1"/>
    <xf numFmtId="0" fontId="34" fillId="2" borderId="10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49" fontId="34" fillId="2" borderId="2" xfId="0" applyNumberFormat="1" applyFont="1" applyFill="1" applyBorder="1" applyAlignment="1">
      <alignment horizontal="center" vertical="center"/>
    </xf>
    <xf numFmtId="49" fontId="33" fillId="2" borderId="22" xfId="0" applyNumberFormat="1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17" fillId="2" borderId="51" xfId="0" applyFont="1" applyFill="1" applyBorder="1" applyAlignment="1"/>
    <xf numFmtId="49" fontId="34" fillId="2" borderId="3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49" fontId="34" fillId="2" borderId="5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/>
    <xf numFmtId="0" fontId="4" fillId="0" borderId="1" xfId="0" applyFont="1" applyBorder="1"/>
    <xf numFmtId="3" fontId="4" fillId="0" borderId="1" xfId="0" applyNumberFormat="1" applyFont="1" applyBorder="1"/>
    <xf numFmtId="9" fontId="34" fillId="2" borderId="71" xfId="0" applyNumberFormat="1" applyFont="1" applyFill="1" applyBorder="1" applyAlignment="1">
      <alignment horizontal="right"/>
    </xf>
    <xf numFmtId="3" fontId="34" fillId="2" borderId="28" xfId="0" applyNumberFormat="1" applyFont="1" applyFill="1" applyBorder="1" applyAlignment="1">
      <alignment horizontal="right"/>
    </xf>
    <xf numFmtId="3" fontId="34" fillId="2" borderId="22" xfId="0" applyNumberFormat="1" applyFont="1" applyFill="1" applyBorder="1" applyAlignment="1">
      <alignment horizontal="right" wrapText="1"/>
    </xf>
    <xf numFmtId="3" fontId="34" fillId="2" borderId="6" xfId="0" applyNumberFormat="1" applyFont="1" applyFill="1" applyBorder="1" applyAlignment="1">
      <alignment horizontal="right" wrapText="1"/>
    </xf>
    <xf numFmtId="3" fontId="45" fillId="2" borderId="1" xfId="0" applyNumberFormat="1" applyFont="1" applyFill="1" applyBorder="1" applyAlignment="1">
      <alignment horizontal="right"/>
    </xf>
    <xf numFmtId="3" fontId="43" fillId="0" borderId="10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3" fontId="43" fillId="2" borderId="1" xfId="0" applyNumberFormat="1" applyFont="1" applyFill="1" applyBorder="1" applyAlignment="1">
      <alignment horizontal="right"/>
    </xf>
    <xf numFmtId="3" fontId="43" fillId="0" borderId="27" xfId="0" applyNumberFormat="1" applyFont="1" applyBorder="1" applyAlignment="1">
      <alignment horizontal="right"/>
    </xf>
    <xf numFmtId="3" fontId="43" fillId="2" borderId="27" xfId="0" applyNumberFormat="1" applyFont="1" applyFill="1" applyBorder="1" applyAlignment="1">
      <alignment horizontal="right"/>
    </xf>
    <xf numFmtId="3" fontId="43" fillId="2" borderId="10" xfId="0" applyNumberFormat="1" applyFont="1" applyFill="1" applyBorder="1" applyAlignment="1">
      <alignment horizontal="right"/>
    </xf>
    <xf numFmtId="3" fontId="44" fillId="2" borderId="1" xfId="0" applyNumberFormat="1" applyFont="1" applyFill="1" applyBorder="1" applyAlignment="1">
      <alignment horizontal="right" shrinkToFit="1"/>
    </xf>
    <xf numFmtId="3" fontId="20" fillId="2" borderId="36" xfId="0" applyNumberFormat="1" applyFont="1" applyFill="1" applyBorder="1" applyAlignment="1">
      <alignment horizontal="center" vertical="center" readingOrder="1"/>
    </xf>
    <xf numFmtId="0" fontId="9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17" fillId="0" borderId="0" xfId="0" applyFont="1" applyFill="1" applyAlignment="1">
      <alignment horizontal="right" vertical="center"/>
    </xf>
    <xf numFmtId="0" fontId="8" fillId="0" borderId="64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34" fillId="0" borderId="3" xfId="0" applyFont="1" applyFill="1" applyBorder="1" applyAlignment="1">
      <alignment horizontal="right" vertical="center" wrapText="1"/>
    </xf>
    <xf numFmtId="0" fontId="34" fillId="0" borderId="4" xfId="0" applyFont="1" applyFill="1" applyBorder="1" applyAlignment="1">
      <alignment horizontal="right" vertical="center" wrapText="1"/>
    </xf>
    <xf numFmtId="0" fontId="34" fillId="0" borderId="5" xfId="0" applyFont="1" applyFill="1" applyBorder="1" applyAlignment="1">
      <alignment horizontal="right" vertical="center" wrapText="1"/>
    </xf>
    <xf numFmtId="0" fontId="34" fillId="0" borderId="29" xfId="0" applyFont="1" applyFill="1" applyBorder="1" applyAlignment="1">
      <alignment horizontal="right" vertical="center" wrapText="1"/>
    </xf>
    <xf numFmtId="3" fontId="17" fillId="0" borderId="44" xfId="0" applyNumberFormat="1" applyFont="1" applyFill="1" applyBorder="1" applyAlignment="1">
      <alignment horizontal="right" vertical="center" wrapText="1"/>
    </xf>
    <xf numFmtId="3" fontId="17" fillId="0" borderId="5" xfId="0" applyNumberFormat="1" applyFont="1" applyFill="1" applyBorder="1" applyAlignment="1">
      <alignment horizontal="right" vertical="center" wrapText="1"/>
    </xf>
    <xf numFmtId="3" fontId="17" fillId="0" borderId="69" xfId="0" applyNumberFormat="1" applyFont="1" applyFill="1" applyBorder="1" applyAlignment="1">
      <alignment horizontal="right" vertical="center" wrapText="1"/>
    </xf>
    <xf numFmtId="0" fontId="33" fillId="0" borderId="32" xfId="0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right" vertical="center"/>
    </xf>
    <xf numFmtId="0" fontId="34" fillId="0" borderId="22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34" fillId="0" borderId="6" xfId="0" applyFont="1" applyFill="1" applyBorder="1" applyAlignment="1">
      <alignment horizontal="right" vertical="center"/>
    </xf>
    <xf numFmtId="3" fontId="17" fillId="0" borderId="22" xfId="0" applyNumberFormat="1" applyFont="1" applyFill="1" applyBorder="1" applyAlignment="1">
      <alignment horizontal="right" vertical="center"/>
    </xf>
    <xf numFmtId="3" fontId="17" fillId="0" borderId="6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3" fillId="0" borderId="27" xfId="0" applyFont="1" applyFill="1" applyBorder="1" applyAlignment="1">
      <alignment horizontal="right" vertical="center"/>
    </xf>
    <xf numFmtId="0" fontId="34" fillId="0" borderId="29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right" vertical="center"/>
    </xf>
    <xf numFmtId="0" fontId="34" fillId="0" borderId="5" xfId="0" applyFont="1" applyFill="1" applyBorder="1" applyAlignment="1">
      <alignment horizontal="right" vertical="center"/>
    </xf>
    <xf numFmtId="3" fontId="17" fillId="0" borderId="29" xfId="0" applyNumberFormat="1" applyFont="1" applyFill="1" applyBorder="1" applyAlignment="1">
      <alignment horizontal="right" vertical="center"/>
    </xf>
    <xf numFmtId="3" fontId="17" fillId="0" borderId="5" xfId="0" applyNumberFormat="1" applyFont="1" applyFill="1" applyBorder="1" applyAlignment="1">
      <alignment horizontal="right" vertical="center"/>
    </xf>
    <xf numFmtId="3" fontId="17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9" fontId="17" fillId="0" borderId="71" xfId="0" applyNumberFormat="1" applyFont="1" applyFill="1" applyBorder="1" applyAlignment="1">
      <alignment vertical="center"/>
    </xf>
    <xf numFmtId="9" fontId="17" fillId="0" borderId="78" xfId="0" applyNumberFormat="1" applyFont="1" applyFill="1" applyBorder="1" applyAlignment="1">
      <alignment vertical="center"/>
    </xf>
    <xf numFmtId="9" fontId="17" fillId="0" borderId="70" xfId="0" applyNumberFormat="1" applyFont="1" applyFill="1" applyBorder="1" applyAlignment="1">
      <alignment vertical="center"/>
    </xf>
    <xf numFmtId="9" fontId="17" fillId="0" borderId="69" xfId="0" applyNumberFormat="1" applyFont="1" applyFill="1" applyBorder="1" applyAlignment="1">
      <alignment vertical="center"/>
    </xf>
    <xf numFmtId="3" fontId="4" fillId="2" borderId="0" xfId="0" applyNumberFormat="1" applyFont="1" applyFill="1"/>
    <xf numFmtId="3" fontId="4" fillId="2" borderId="21" xfId="0" applyNumberFormat="1" applyFont="1" applyFill="1" applyBorder="1"/>
    <xf numFmtId="3" fontId="9" fillId="2" borderId="0" xfId="0" applyNumberFormat="1" applyFont="1" applyFill="1" applyAlignment="1"/>
    <xf numFmtId="0" fontId="16" fillId="0" borderId="11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9" fontId="17" fillId="2" borderId="1" xfId="2" applyFont="1" applyFill="1" applyBorder="1" applyAlignment="1">
      <alignment horizontal="right" vertical="center"/>
    </xf>
    <xf numFmtId="3" fontId="1" fillId="0" borderId="1" xfId="7" applyNumberFormat="1" applyBorder="1"/>
    <xf numFmtId="3" fontId="46" fillId="0" borderId="1" xfId="6" applyNumberFormat="1" applyBorder="1"/>
    <xf numFmtId="3" fontId="19" fillId="2" borderId="22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12" fillId="2" borderId="75" xfId="0" applyNumberFormat="1" applyFont="1" applyFill="1" applyBorder="1" applyAlignment="1">
      <alignment horizontal="center"/>
    </xf>
    <xf numFmtId="3" fontId="12" fillId="2" borderId="73" xfId="0" applyNumberFormat="1" applyFont="1" applyFill="1" applyBorder="1" applyAlignment="1">
      <alignment horizontal="center"/>
    </xf>
    <xf numFmtId="3" fontId="12" fillId="2" borderId="7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1" fontId="4" fillId="0" borderId="1" xfId="0" applyNumberFormat="1" applyFont="1" applyBorder="1"/>
    <xf numFmtId="166" fontId="4" fillId="0" borderId="1" xfId="0" applyNumberFormat="1" applyFont="1" applyBorder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3" fontId="12" fillId="2" borderId="73" xfId="0" applyNumberFormat="1" applyFont="1" applyFill="1" applyBorder="1" applyAlignment="1">
      <alignment horizontal="center"/>
    </xf>
    <xf numFmtId="3" fontId="12" fillId="2" borderId="71" xfId="0" applyNumberFormat="1" applyFont="1" applyFill="1" applyBorder="1" applyAlignment="1">
      <alignment horizontal="center"/>
    </xf>
    <xf numFmtId="3" fontId="12" fillId="2" borderId="75" xfId="0" applyNumberFormat="1" applyFont="1" applyFill="1" applyBorder="1" applyAlignment="1">
      <alignment horizontal="center"/>
    </xf>
    <xf numFmtId="3" fontId="13" fillId="2" borderId="19" xfId="0" applyNumberFormat="1" applyFont="1" applyFill="1" applyBorder="1" applyAlignment="1">
      <alignment horizontal="right"/>
    </xf>
    <xf numFmtId="3" fontId="13" fillId="2" borderId="15" xfId="0" applyNumberFormat="1" applyFont="1" applyFill="1" applyBorder="1"/>
    <xf numFmtId="3" fontId="13" fillId="2" borderId="5" xfId="0" applyNumberFormat="1" applyFont="1" applyFill="1" applyBorder="1"/>
    <xf numFmtId="0" fontId="20" fillId="2" borderId="28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20" fillId="2" borderId="71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3" fontId="20" fillId="2" borderId="64" xfId="0" applyNumberFormat="1" applyFont="1" applyFill="1" applyBorder="1" applyAlignment="1">
      <alignment horizontal="left" vertical="center"/>
    </xf>
    <xf numFmtId="3" fontId="9" fillId="0" borderId="0" xfId="0" applyNumberFormat="1" applyFont="1"/>
    <xf numFmtId="0" fontId="34" fillId="0" borderId="14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horizontal="right" vertical="center"/>
    </xf>
    <xf numFmtId="0" fontId="34" fillId="0" borderId="15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right" vertical="center"/>
    </xf>
    <xf numFmtId="3" fontId="17" fillId="0" borderId="14" xfId="0" applyNumberFormat="1" applyFont="1" applyFill="1" applyBorder="1" applyAlignment="1">
      <alignment horizontal="right" vertical="center"/>
    </xf>
    <xf numFmtId="3" fontId="17" fillId="0" borderId="12" xfId="0" applyNumberFormat="1" applyFont="1" applyFill="1" applyBorder="1" applyAlignment="1">
      <alignment horizontal="right" vertical="center"/>
    </xf>
    <xf numFmtId="3" fontId="17" fillId="0" borderId="15" xfId="0" applyNumberFormat="1" applyFont="1" applyFill="1" applyBorder="1" applyAlignment="1">
      <alignment horizontal="right" vertical="center"/>
    </xf>
    <xf numFmtId="3" fontId="17" fillId="0" borderId="11" xfId="0" applyNumberFormat="1" applyFont="1" applyFill="1" applyBorder="1" applyAlignment="1">
      <alignment horizontal="right" vertical="center"/>
    </xf>
    <xf numFmtId="9" fontId="17" fillId="0" borderId="55" xfId="0" applyNumberFormat="1" applyFont="1" applyFill="1" applyBorder="1" applyAlignment="1">
      <alignment vertical="center"/>
    </xf>
    <xf numFmtId="9" fontId="17" fillId="0" borderId="66" xfId="0" applyNumberFormat="1" applyFont="1" applyFill="1" applyBorder="1" applyAlignment="1">
      <alignment vertical="center"/>
    </xf>
    <xf numFmtId="0" fontId="34" fillId="0" borderId="22" xfId="0" applyFont="1" applyFill="1" applyBorder="1" applyAlignment="1">
      <alignment horizontal="right" vertical="center"/>
    </xf>
    <xf numFmtId="0" fontId="34" fillId="0" borderId="6" xfId="0" applyFont="1" applyFill="1" applyBorder="1" applyAlignment="1">
      <alignment horizontal="right" vertical="center"/>
    </xf>
    <xf numFmtId="9" fontId="17" fillId="0" borderId="15" xfId="0" applyNumberFormat="1" applyFont="1" applyFill="1" applyBorder="1" applyAlignment="1">
      <alignment vertical="center"/>
    </xf>
    <xf numFmtId="9" fontId="17" fillId="0" borderId="11" xfId="0" applyNumberFormat="1" applyFont="1" applyFill="1" applyBorder="1" applyAlignment="1">
      <alignment vertical="center"/>
    </xf>
    <xf numFmtId="0" fontId="34" fillId="0" borderId="24" xfId="0" applyFont="1" applyFill="1" applyBorder="1" applyAlignment="1">
      <alignment horizontal="right" vertical="center"/>
    </xf>
    <xf numFmtId="3" fontId="17" fillId="0" borderId="3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9" fontId="17" fillId="0" borderId="58" xfId="0" applyNumberFormat="1" applyFont="1" applyFill="1" applyBorder="1" applyAlignment="1">
      <alignment vertical="center"/>
    </xf>
    <xf numFmtId="9" fontId="17" fillId="2" borderId="15" xfId="2" applyFont="1" applyFill="1" applyBorder="1" applyAlignment="1">
      <alignment horizontal="right" vertical="center"/>
    </xf>
    <xf numFmtId="9" fontId="17" fillId="2" borderId="11" xfId="2" applyFont="1" applyFill="1" applyBorder="1" applyAlignment="1">
      <alignment horizontal="right" vertical="center"/>
    </xf>
    <xf numFmtId="3" fontId="17" fillId="2" borderId="55" xfId="0" applyNumberFormat="1" applyFont="1" applyFill="1" applyBorder="1" applyAlignment="1">
      <alignment horizontal="right" vertical="center"/>
    </xf>
    <xf numFmtId="3" fontId="17" fillId="2" borderId="66" xfId="0" applyNumberFormat="1" applyFont="1" applyFill="1" applyBorder="1" applyAlignment="1">
      <alignment horizontal="right" vertical="center"/>
    </xf>
    <xf numFmtId="9" fontId="17" fillId="2" borderId="78" xfId="2" applyFont="1" applyFill="1" applyBorder="1" applyAlignment="1">
      <alignment horizontal="right" vertical="center"/>
    </xf>
    <xf numFmtId="9" fontId="17" fillId="2" borderId="70" xfId="2" applyFont="1" applyFill="1" applyBorder="1" applyAlignment="1">
      <alignment horizontal="right" vertical="center"/>
    </xf>
    <xf numFmtId="0" fontId="16" fillId="2" borderId="4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3" fontId="17" fillId="2" borderId="27" xfId="0" applyNumberFormat="1" applyFont="1" applyFill="1" applyBorder="1" applyAlignment="1">
      <alignment horizontal="right" vertical="center"/>
    </xf>
    <xf numFmtId="3" fontId="17" fillId="2" borderId="10" xfId="0" applyNumberFormat="1" applyFont="1" applyFill="1" applyBorder="1" applyAlignment="1">
      <alignment horizontal="right" vertical="center"/>
    </xf>
    <xf numFmtId="49" fontId="34" fillId="2" borderId="22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center" vertical="center"/>
    </xf>
    <xf numFmtId="3" fontId="17" fillId="2" borderId="86" xfId="0" applyNumberFormat="1" applyFont="1" applyFill="1" applyBorder="1" applyAlignment="1">
      <alignment horizontal="right" vertical="center"/>
    </xf>
    <xf numFmtId="3" fontId="17" fillId="2" borderId="24" xfId="0" applyNumberFormat="1" applyFont="1" applyFill="1" applyBorder="1" applyAlignment="1">
      <alignment horizontal="right" vertical="center"/>
    </xf>
    <xf numFmtId="3" fontId="27" fillId="2" borderId="15" xfId="0" applyNumberFormat="1" applyFont="1" applyFill="1" applyBorder="1" applyAlignment="1">
      <alignment horizontal="right" vertical="center"/>
    </xf>
    <xf numFmtId="3" fontId="27" fillId="2" borderId="11" xfId="0" applyNumberFormat="1" applyFont="1" applyFill="1" applyBorder="1" applyAlignment="1">
      <alignment horizontal="right" vertical="center"/>
    </xf>
    <xf numFmtId="3" fontId="17" fillId="2" borderId="15" xfId="0" applyNumberFormat="1" applyFont="1" applyFill="1" applyBorder="1" applyAlignment="1">
      <alignment horizontal="right" vertical="center"/>
    </xf>
    <xf numFmtId="3" fontId="17" fillId="2" borderId="11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horizontal="right" vertical="center"/>
    </xf>
    <xf numFmtId="3" fontId="17" fillId="2" borderId="12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3" fontId="16" fillId="2" borderId="48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3" fontId="16" fillId="2" borderId="38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9" fontId="17" fillId="2" borderId="0" xfId="0" applyNumberFormat="1" applyFont="1" applyFill="1" applyBorder="1" applyAlignment="1">
      <alignment horizontal="center" vertical="center"/>
    </xf>
    <xf numFmtId="0" fontId="16" fillId="2" borderId="68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9" fontId="34" fillId="2" borderId="55" xfId="0" applyNumberFormat="1" applyFont="1" applyFill="1" applyBorder="1" applyAlignment="1">
      <alignment horizontal="right"/>
    </xf>
    <xf numFmtId="9" fontId="34" fillId="2" borderId="57" xfId="0" applyNumberFormat="1" applyFont="1" applyFill="1" applyBorder="1" applyAlignment="1">
      <alignment horizontal="right"/>
    </xf>
    <xf numFmtId="3" fontId="34" fillId="2" borderId="27" xfId="0" applyNumberFormat="1" applyFont="1" applyFill="1" applyBorder="1" applyAlignment="1">
      <alignment horizontal="right" wrapText="1"/>
    </xf>
    <xf numFmtId="3" fontId="34" fillId="2" borderId="83" xfId="0" applyNumberFormat="1" applyFont="1" applyFill="1" applyBorder="1" applyAlignment="1">
      <alignment horizontal="right" wrapText="1"/>
    </xf>
    <xf numFmtId="0" fontId="16" fillId="2" borderId="45" xfId="0" applyFont="1" applyFill="1" applyBorder="1" applyAlignment="1">
      <alignment horizontal="center" wrapText="1"/>
    </xf>
    <xf numFmtId="0" fontId="16" fillId="2" borderId="2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4" fillId="2" borderId="27" xfId="0" applyFont="1" applyFill="1" applyBorder="1" applyAlignment="1">
      <alignment horizontal="center" vertical="center" wrapText="1"/>
    </xf>
    <xf numFmtId="0" fontId="34" fillId="2" borderId="83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3" fontId="12" fillId="2" borderId="61" xfId="0" applyNumberFormat="1" applyFont="1" applyFill="1" applyBorder="1" applyAlignment="1">
      <alignment horizontal="center"/>
    </xf>
    <xf numFmtId="3" fontId="12" fillId="2" borderId="30" xfId="0" applyNumberFormat="1" applyFont="1" applyFill="1" applyBorder="1" applyAlignment="1">
      <alignment horizontal="center"/>
    </xf>
    <xf numFmtId="3" fontId="12" fillId="2" borderId="69" xfId="0" applyNumberFormat="1" applyFont="1" applyFill="1" applyBorder="1" applyAlignment="1">
      <alignment horizontal="center"/>
    </xf>
    <xf numFmtId="3" fontId="12" fillId="2" borderId="28" xfId="0" applyNumberFormat="1" applyFont="1" applyFill="1" applyBorder="1" applyAlignment="1">
      <alignment horizontal="center"/>
    </xf>
    <xf numFmtId="3" fontId="12" fillId="2" borderId="73" xfId="0" applyNumberFormat="1" applyFont="1" applyFill="1" applyBorder="1" applyAlignment="1">
      <alignment horizontal="center"/>
    </xf>
    <xf numFmtId="3" fontId="12" fillId="2" borderId="7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12" fillId="2" borderId="75" xfId="0" applyNumberFormat="1" applyFont="1" applyFill="1" applyBorder="1" applyAlignment="1">
      <alignment horizont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3" fontId="7" fillId="2" borderId="52" xfId="0" applyNumberFormat="1" applyFont="1" applyFill="1" applyBorder="1" applyAlignment="1">
      <alignment horizontal="center" vertical="center" wrapText="1"/>
    </xf>
    <xf numFmtId="3" fontId="7" fillId="2" borderId="41" xfId="0" applyNumberFormat="1" applyFont="1" applyFill="1" applyBorder="1" applyAlignment="1">
      <alignment horizontal="center" vertical="center" wrapText="1"/>
    </xf>
    <xf numFmtId="3" fontId="7" fillId="2" borderId="47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9" fontId="7" fillId="2" borderId="50" xfId="0" applyNumberFormat="1" applyFont="1" applyFill="1" applyBorder="1" applyAlignment="1">
      <alignment horizontal="center" vertical="center"/>
    </xf>
    <xf numFmtId="49" fontId="7" fillId="2" borderId="59" xfId="0" applyNumberFormat="1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9" fillId="2" borderId="4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17" fillId="2" borderId="50" xfId="0" applyFont="1" applyFill="1" applyBorder="1" applyAlignment="1">
      <alignment horizontal="center" wrapText="1"/>
    </xf>
    <xf numFmtId="0" fontId="17" fillId="2" borderId="45" xfId="0" applyFont="1" applyFill="1" applyBorder="1" applyAlignment="1">
      <alignment horizontal="center" wrapText="1"/>
    </xf>
    <xf numFmtId="0" fontId="17" fillId="2" borderId="59" xfId="0" applyFont="1" applyFill="1" applyBorder="1" applyAlignment="1">
      <alignment horizontal="center" wrapText="1"/>
    </xf>
    <xf numFmtId="0" fontId="17" fillId="2" borderId="46" xfId="0" applyFont="1" applyFill="1" applyBorder="1" applyAlignment="1">
      <alignment horizont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vertical="top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2" fontId="15" fillId="2" borderId="50" xfId="0" applyNumberFormat="1" applyFont="1" applyFill="1" applyBorder="1" applyAlignment="1">
      <alignment horizontal="center" vertical="center" wrapText="1"/>
    </xf>
    <xf numFmtId="2" fontId="15" fillId="2" borderId="21" xfId="0" applyNumberFormat="1" applyFont="1" applyFill="1" applyBorder="1" applyAlignment="1">
      <alignment horizontal="center" vertical="center" wrapText="1"/>
    </xf>
    <xf numFmtId="2" fontId="15" fillId="2" borderId="45" xfId="0" applyNumberFormat="1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right" vertical="center" wrapText="1"/>
    </xf>
    <xf numFmtId="0" fontId="8" fillId="2" borderId="63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left" vertical="top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16" fillId="2" borderId="1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8" fillId="2" borderId="5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20" fillId="2" borderId="28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20" fillId="2" borderId="71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3" fontId="20" fillId="2" borderId="38" xfId="0" applyNumberFormat="1" applyFont="1" applyFill="1" applyBorder="1" applyAlignment="1">
      <alignment horizontal="center" vertical="center" wrapText="1"/>
    </xf>
    <xf numFmtId="3" fontId="20" fillId="2" borderId="37" xfId="0" applyNumberFormat="1" applyFont="1" applyFill="1" applyBorder="1" applyAlignment="1">
      <alignment horizontal="center" vertical="center" wrapText="1"/>
    </xf>
    <xf numFmtId="3" fontId="20" fillId="2" borderId="25" xfId="0" applyNumberFormat="1" applyFont="1" applyFill="1" applyBorder="1" applyAlignment="1">
      <alignment horizontal="center" vertical="center" wrapText="1"/>
    </xf>
    <xf numFmtId="9" fontId="20" fillId="2" borderId="48" xfId="2" applyFont="1" applyFill="1" applyBorder="1" applyAlignment="1">
      <alignment horizontal="center" vertical="center"/>
    </xf>
    <xf numFmtId="9" fontId="20" fillId="2" borderId="49" xfId="2" applyFont="1" applyFill="1" applyBorder="1" applyAlignment="1">
      <alignment horizontal="center" vertical="center"/>
    </xf>
    <xf numFmtId="9" fontId="20" fillId="2" borderId="16" xfId="2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/>
    </xf>
    <xf numFmtId="0" fontId="8" fillId="2" borderId="7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4" fontId="20" fillId="2" borderId="4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8" fillId="0" borderId="53" xfId="0" applyFont="1" applyBorder="1" applyAlignment="1">
      <alignment horizontal="center" wrapText="1" shrinkToFit="1"/>
    </xf>
    <xf numFmtId="0" fontId="8" fillId="0" borderId="54" xfId="0" applyFont="1" applyBorder="1" applyAlignment="1">
      <alignment horizont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4" fontId="39" fillId="2" borderId="104" xfId="0" applyNumberFormat="1" applyFont="1" applyFill="1" applyBorder="1" applyAlignment="1" applyProtection="1">
      <alignment horizontal="center" vertical="center"/>
    </xf>
    <xf numFmtId="4" fontId="39" fillId="2" borderId="105" xfId="0" applyNumberFormat="1" applyFont="1" applyFill="1" applyBorder="1" applyAlignment="1" applyProtection="1">
      <alignment horizontal="center" vertical="center"/>
    </xf>
    <xf numFmtId="4" fontId="39" fillId="2" borderId="106" xfId="0" applyNumberFormat="1" applyFont="1" applyFill="1" applyBorder="1" applyAlignment="1" applyProtection="1">
      <alignment horizontal="center" vertical="center"/>
    </xf>
    <xf numFmtId="0" fontId="38" fillId="2" borderId="0" xfId="0" applyNumberFormat="1" applyFont="1" applyFill="1" applyAlignment="1" applyProtection="1">
      <alignment horizontal="center"/>
    </xf>
    <xf numFmtId="0" fontId="37" fillId="2" borderId="87" xfId="0" applyNumberFormat="1" applyFont="1" applyFill="1" applyBorder="1" applyAlignment="1" applyProtection="1">
      <alignment horizontal="center" vertical="center" wrapText="1"/>
    </xf>
    <xf numFmtId="0" fontId="37" fillId="2" borderId="91" xfId="0" applyNumberFormat="1" applyFont="1" applyFill="1" applyBorder="1" applyAlignment="1" applyProtection="1">
      <alignment horizontal="center" vertical="center" wrapText="1"/>
    </xf>
    <xf numFmtId="0" fontId="37" fillId="2" borderId="88" xfId="0" applyNumberFormat="1" applyFont="1" applyFill="1" applyBorder="1" applyAlignment="1" applyProtection="1">
      <alignment horizontal="center" vertical="center"/>
    </xf>
    <xf numFmtId="0" fontId="37" fillId="2" borderId="89" xfId="0" applyNumberFormat="1" applyFont="1" applyFill="1" applyBorder="1" applyAlignment="1" applyProtection="1">
      <alignment vertical="center"/>
    </xf>
    <xf numFmtId="0" fontId="37" fillId="2" borderId="90" xfId="0" applyNumberFormat="1" applyFont="1" applyFill="1" applyBorder="1" applyAlignment="1" applyProtection="1">
      <alignment vertical="center"/>
    </xf>
    <xf numFmtId="0" fontId="39" fillId="2" borderId="94" xfId="0" applyNumberFormat="1" applyFont="1" applyFill="1" applyBorder="1" applyAlignment="1" applyProtection="1">
      <alignment horizontal="center" vertical="center"/>
    </xf>
    <xf numFmtId="0" fontId="39" fillId="2" borderId="98" xfId="0" applyNumberFormat="1" applyFont="1" applyFill="1" applyBorder="1" applyAlignment="1" applyProtection="1">
      <alignment horizontal="center" vertical="center"/>
    </xf>
    <xf numFmtId="0" fontId="39" fillId="2" borderId="100" xfId="0" applyNumberFormat="1" applyFont="1" applyFill="1" applyBorder="1" applyAlignment="1" applyProtection="1">
      <alignment horizontal="center" vertical="center"/>
    </xf>
    <xf numFmtId="0" fontId="39" fillId="2" borderId="95" xfId="0" applyNumberFormat="1" applyFont="1" applyFill="1" applyBorder="1" applyAlignment="1" applyProtection="1">
      <alignment horizontal="left" vertical="center"/>
    </xf>
    <xf numFmtId="0" fontId="39" fillId="2" borderId="99" xfId="0" applyNumberFormat="1" applyFont="1" applyFill="1" applyBorder="1" applyAlignment="1" applyProtection="1">
      <alignment horizontal="left" vertical="center"/>
    </xf>
    <xf numFmtId="0" fontId="39" fillId="2" borderId="101" xfId="0" applyNumberFormat="1" applyFont="1" applyFill="1" applyBorder="1" applyAlignment="1" applyProtection="1">
      <alignment horizontal="left" vertical="center"/>
    </xf>
    <xf numFmtId="164" fontId="39" fillId="2" borderId="95" xfId="0" applyNumberFormat="1" applyFont="1" applyFill="1" applyBorder="1" applyAlignment="1" applyProtection="1">
      <alignment horizontal="center" vertical="center"/>
    </xf>
    <xf numFmtId="164" fontId="39" fillId="2" borderId="99" xfId="0" applyNumberFormat="1" applyFont="1" applyFill="1" applyBorder="1" applyAlignment="1" applyProtection="1">
      <alignment horizontal="center" vertical="center"/>
    </xf>
    <xf numFmtId="164" fontId="39" fillId="2" borderId="101" xfId="0" applyNumberFormat="1" applyFont="1" applyFill="1" applyBorder="1" applyAlignment="1" applyProtection="1">
      <alignment horizontal="center" vertical="center"/>
    </xf>
    <xf numFmtId="4" fontId="39" fillId="2" borderId="95" xfId="0" applyNumberFormat="1" applyFont="1" applyFill="1" applyBorder="1" applyAlignment="1" applyProtection="1">
      <alignment horizontal="center" vertical="center"/>
    </xf>
    <xf numFmtId="4" fontId="39" fillId="2" borderId="99" xfId="0" applyNumberFormat="1" applyFont="1" applyFill="1" applyBorder="1" applyAlignment="1" applyProtection="1">
      <alignment horizontal="center" vertical="center"/>
    </xf>
    <xf numFmtId="4" fontId="39" fillId="2" borderId="101" xfId="0" applyNumberFormat="1" applyFont="1" applyFill="1" applyBorder="1" applyAlignment="1" applyProtection="1">
      <alignment horizontal="center" vertical="center"/>
    </xf>
    <xf numFmtId="0" fontId="41" fillId="2" borderId="88" xfId="0" applyNumberFormat="1" applyFont="1" applyFill="1" applyBorder="1" applyAlignment="1" applyProtection="1">
      <alignment horizontal="center" vertical="center"/>
    </xf>
    <xf numFmtId="0" fontId="41" fillId="2" borderId="89" xfId="0" applyNumberFormat="1" applyFont="1" applyFill="1" applyBorder="1" applyAlignment="1" applyProtection="1">
      <alignment horizontal="center" vertical="center"/>
    </xf>
    <xf numFmtId="0" fontId="41" fillId="2" borderId="9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49" fontId="17" fillId="2" borderId="77" xfId="0" applyNumberFormat="1" applyFont="1" applyFill="1" applyBorder="1" applyAlignment="1">
      <alignment horizontal="left" vertical="center" wrapText="1"/>
    </xf>
    <xf numFmtId="49" fontId="17" fillId="2" borderId="72" xfId="0" applyNumberFormat="1" applyFont="1" applyFill="1" applyBorder="1" applyAlignment="1">
      <alignment horizontal="left" vertical="center" wrapText="1"/>
    </xf>
    <xf numFmtId="49" fontId="17" fillId="2" borderId="78" xfId="0" applyNumberFormat="1" applyFont="1" applyFill="1" applyBorder="1" applyAlignment="1">
      <alignment horizontal="left" vertical="center" wrapText="1"/>
    </xf>
    <xf numFmtId="49" fontId="17" fillId="2" borderId="61" xfId="0" applyNumberFormat="1" applyFont="1" applyFill="1" applyBorder="1" applyAlignment="1">
      <alignment horizontal="left" vertical="center" wrapText="1"/>
    </xf>
    <xf numFmtId="49" fontId="17" fillId="2" borderId="30" xfId="0" applyNumberFormat="1" applyFont="1" applyFill="1" applyBorder="1" applyAlignment="1">
      <alignment horizontal="left" vertical="center" wrapText="1"/>
    </xf>
    <xf numFmtId="49" fontId="17" fillId="2" borderId="69" xfId="0" applyNumberFormat="1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49" fontId="9" fillId="2" borderId="50" xfId="0" applyNumberFormat="1" applyFont="1" applyFill="1" applyBorder="1" applyAlignment="1">
      <alignment horizontal="left" vertical="center" wrapText="1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2" borderId="45" xfId="0" applyNumberFormat="1" applyFont="1" applyFill="1" applyBorder="1" applyAlignment="1">
      <alignment horizontal="left" vertical="center" wrapText="1"/>
    </xf>
    <xf numFmtId="49" fontId="17" fillId="2" borderId="75" xfId="0" applyNumberFormat="1" applyFont="1" applyFill="1" applyBorder="1" applyAlignment="1">
      <alignment horizontal="left" vertical="center" wrapText="1"/>
    </xf>
    <xf numFmtId="49" fontId="17" fillId="2" borderId="73" xfId="0" applyNumberFormat="1" applyFont="1" applyFill="1" applyBorder="1" applyAlignment="1">
      <alignment horizontal="left" vertical="center" wrapText="1"/>
    </xf>
    <xf numFmtId="49" fontId="17" fillId="2" borderId="71" xfId="0" applyNumberFormat="1" applyFont="1" applyFill="1" applyBorder="1" applyAlignment="1">
      <alignment horizontal="left" vertical="center" wrapText="1"/>
    </xf>
    <xf numFmtId="49" fontId="17" fillId="2" borderId="51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7" fillId="2" borderId="23" xfId="0" applyNumberFormat="1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right" vertical="center" wrapText="1"/>
    </xf>
    <xf numFmtId="0" fontId="9" fillId="2" borderId="57" xfId="0" applyFont="1" applyFill="1" applyBorder="1" applyAlignment="1">
      <alignment horizontal="right" vertical="center" wrapText="1"/>
    </xf>
    <xf numFmtId="3" fontId="20" fillId="2" borderId="109" xfId="0" applyNumberFormat="1" applyFont="1" applyFill="1" applyBorder="1" applyAlignment="1">
      <alignment horizontal="center" vertical="center"/>
    </xf>
    <xf numFmtId="3" fontId="20" fillId="2" borderId="57" xfId="0" applyNumberFormat="1" applyFont="1" applyFill="1" applyBorder="1" applyAlignment="1">
      <alignment horizontal="center" vertical="center"/>
    </xf>
    <xf numFmtId="3" fontId="20" fillId="2" borderId="56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3" xfId="6"/>
    <cellStyle name="Normal 4" xfId="3"/>
    <cellStyle name="Normal 4 2" xfId="7"/>
    <cellStyle name="Normal 5" xfId="4"/>
    <cellStyle name="Normal 6" xfId="5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31804</xdr:colOff>
      <xdr:row>36</xdr:row>
      <xdr:rowOff>23812</xdr:rowOff>
    </xdr:from>
    <xdr:ext cx="1905" cy="635"/>
    <xdr:sp macro="" textlink="">
      <xdr:nvSpPr>
        <xdr:cNvPr id="14" name="Shape 23"/>
        <xdr:cNvSpPr/>
      </xdr:nvSpPr>
      <xdr:spPr>
        <a:xfrm>
          <a:off x="3498904" y="94630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36</xdr:row>
      <xdr:rowOff>23812</xdr:rowOff>
    </xdr:from>
    <xdr:ext cx="1905" cy="635"/>
    <xdr:sp macro="" textlink="">
      <xdr:nvSpPr>
        <xdr:cNvPr id="15" name="Shape 24"/>
        <xdr:cNvSpPr/>
      </xdr:nvSpPr>
      <xdr:spPr>
        <a:xfrm>
          <a:off x="5319712" y="94630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69" y="377"/>
              </a:moveTo>
              <a:lnTo>
                <a:pt x="0" y="0"/>
              </a:lnTo>
            </a:path>
          </a:pathLst>
        </a:custGeom>
        <a:ln w="38099">
          <a:solidFill>
            <a:srgbClr val="E6E6E6"/>
          </a:solidFill>
        </a:ln>
      </xdr:spPr>
    </xdr:sp>
    <xdr:clientData/>
  </xdr:oneCellAnchor>
  <xdr:oneCellAnchor>
    <xdr:from>
      <xdr:col>4</xdr:col>
      <xdr:colOff>31849</xdr:colOff>
      <xdr:row>37</xdr:row>
      <xdr:rowOff>23812</xdr:rowOff>
    </xdr:from>
    <xdr:ext cx="1905" cy="635"/>
    <xdr:sp macro="" textlink="">
      <xdr:nvSpPr>
        <xdr:cNvPr id="16" name="Shape 26"/>
        <xdr:cNvSpPr/>
      </xdr:nvSpPr>
      <xdr:spPr>
        <a:xfrm>
          <a:off x="3498949" y="97107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488" y="0"/>
              </a:moveTo>
              <a:lnTo>
                <a:pt x="0" y="30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37</xdr:row>
      <xdr:rowOff>23812</xdr:rowOff>
    </xdr:from>
    <xdr:ext cx="1905" cy="635"/>
    <xdr:sp macro="" textlink="">
      <xdr:nvSpPr>
        <xdr:cNvPr id="17" name="Shape 27"/>
        <xdr:cNvSpPr/>
      </xdr:nvSpPr>
      <xdr:spPr>
        <a:xfrm>
          <a:off x="5319712" y="97107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24" y="368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38</xdr:row>
      <xdr:rowOff>23812</xdr:rowOff>
    </xdr:from>
    <xdr:ext cx="1905" cy="635"/>
    <xdr:sp macro="" textlink="">
      <xdr:nvSpPr>
        <xdr:cNvPr id="18" name="Shape 29"/>
        <xdr:cNvSpPr/>
      </xdr:nvSpPr>
      <xdr:spPr>
        <a:xfrm>
          <a:off x="5319712" y="99583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779" y="359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40</xdr:row>
      <xdr:rowOff>23812</xdr:rowOff>
    </xdr:from>
    <xdr:ext cx="1905" cy="635"/>
    <xdr:sp macro="" textlink="">
      <xdr:nvSpPr>
        <xdr:cNvPr id="19" name="Shape 31"/>
        <xdr:cNvSpPr/>
      </xdr:nvSpPr>
      <xdr:spPr>
        <a:xfrm>
          <a:off x="5319712" y="104536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689" y="341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41</xdr:row>
      <xdr:rowOff>23812</xdr:rowOff>
    </xdr:from>
    <xdr:ext cx="1905" cy="635"/>
    <xdr:sp macro="" textlink="">
      <xdr:nvSpPr>
        <xdr:cNvPr id="20" name="Shape 33"/>
        <xdr:cNvSpPr/>
      </xdr:nvSpPr>
      <xdr:spPr>
        <a:xfrm>
          <a:off x="5319712" y="107013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644" y="332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42</xdr:row>
      <xdr:rowOff>23812</xdr:rowOff>
    </xdr:from>
    <xdr:ext cx="1905" cy="635"/>
    <xdr:sp macro="" textlink="">
      <xdr:nvSpPr>
        <xdr:cNvPr id="21" name="Shape 35"/>
        <xdr:cNvSpPr/>
      </xdr:nvSpPr>
      <xdr:spPr>
        <a:xfrm>
          <a:off x="5319712" y="109489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99" y="323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43</xdr:row>
      <xdr:rowOff>23812</xdr:rowOff>
    </xdr:from>
    <xdr:ext cx="1905" cy="635"/>
    <xdr:sp macro="" textlink="">
      <xdr:nvSpPr>
        <xdr:cNvPr id="22" name="Shape 37"/>
        <xdr:cNvSpPr/>
      </xdr:nvSpPr>
      <xdr:spPr>
        <a:xfrm>
          <a:off x="5319712" y="1119663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55" y="313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4</xdr:col>
      <xdr:colOff>1852612</xdr:colOff>
      <xdr:row>44</xdr:row>
      <xdr:rowOff>23812</xdr:rowOff>
    </xdr:from>
    <xdr:ext cx="1905" cy="635"/>
    <xdr:sp macro="" textlink="">
      <xdr:nvSpPr>
        <xdr:cNvPr id="23" name="Shape 39"/>
        <xdr:cNvSpPr/>
      </xdr:nvSpPr>
      <xdr:spPr>
        <a:xfrm>
          <a:off x="5319712" y="11444287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10" y="304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3</xdr:col>
      <xdr:colOff>31804</xdr:colOff>
      <xdr:row>36</xdr:row>
      <xdr:rowOff>23812</xdr:rowOff>
    </xdr:from>
    <xdr:ext cx="1905" cy="635"/>
    <xdr:sp macro="" textlink="">
      <xdr:nvSpPr>
        <xdr:cNvPr id="12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31804</xdr:colOff>
      <xdr:row>36</xdr:row>
      <xdr:rowOff>23812</xdr:rowOff>
    </xdr:from>
    <xdr:ext cx="1905" cy="635"/>
    <xdr:sp macro="" textlink="">
      <xdr:nvSpPr>
        <xdr:cNvPr id="13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24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3</xdr:col>
      <xdr:colOff>31804</xdr:colOff>
      <xdr:row>36</xdr:row>
      <xdr:rowOff>23812</xdr:rowOff>
    </xdr:from>
    <xdr:ext cx="1905" cy="635"/>
    <xdr:sp macro="" textlink="">
      <xdr:nvSpPr>
        <xdr:cNvPr id="25" name="Shape 23"/>
        <xdr:cNvSpPr/>
      </xdr:nvSpPr>
      <xdr:spPr>
        <a:xfrm>
          <a:off x="6333544" y="925925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1852612</xdr:colOff>
      <xdr:row>36</xdr:row>
      <xdr:rowOff>23812</xdr:rowOff>
    </xdr:from>
    <xdr:ext cx="1905" cy="635"/>
    <xdr:sp macro="" textlink="">
      <xdr:nvSpPr>
        <xdr:cNvPr id="26" name="Shape 24"/>
        <xdr:cNvSpPr/>
      </xdr:nvSpPr>
      <xdr:spPr>
        <a:xfrm>
          <a:off x="7319962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69" y="377"/>
              </a:moveTo>
              <a:lnTo>
                <a:pt x="0" y="0"/>
              </a:lnTo>
            </a:path>
          </a:pathLst>
        </a:custGeom>
        <a:ln w="38099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27" name="Shape 23"/>
        <xdr:cNvSpPr/>
      </xdr:nvSpPr>
      <xdr:spPr>
        <a:xfrm>
          <a:off x="734700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31804</xdr:colOff>
      <xdr:row>36</xdr:row>
      <xdr:rowOff>23812</xdr:rowOff>
    </xdr:from>
    <xdr:ext cx="1905" cy="635"/>
    <xdr:sp macro="" textlink="">
      <xdr:nvSpPr>
        <xdr:cNvPr id="28" name="Shape 23"/>
        <xdr:cNvSpPr/>
      </xdr:nvSpPr>
      <xdr:spPr>
        <a:xfrm>
          <a:off x="6156379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1852612</xdr:colOff>
      <xdr:row>36</xdr:row>
      <xdr:rowOff>23812</xdr:rowOff>
    </xdr:from>
    <xdr:ext cx="1905" cy="635"/>
    <xdr:sp macro="" textlink="">
      <xdr:nvSpPr>
        <xdr:cNvPr id="29" name="Shape 24"/>
        <xdr:cNvSpPr/>
      </xdr:nvSpPr>
      <xdr:spPr>
        <a:xfrm>
          <a:off x="7319962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869" y="377"/>
              </a:moveTo>
              <a:lnTo>
                <a:pt x="0" y="0"/>
              </a:lnTo>
            </a:path>
          </a:pathLst>
        </a:custGeom>
        <a:ln w="38099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30" name="Shape 23"/>
        <xdr:cNvSpPr/>
      </xdr:nvSpPr>
      <xdr:spPr>
        <a:xfrm>
          <a:off x="734700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6</xdr:col>
      <xdr:colOff>31804</xdr:colOff>
      <xdr:row>36</xdr:row>
      <xdr:rowOff>23812</xdr:rowOff>
    </xdr:from>
    <xdr:ext cx="1905" cy="635"/>
    <xdr:sp macro="" textlink="">
      <xdr:nvSpPr>
        <xdr:cNvPr id="31" name="Shape 23"/>
        <xdr:cNvSpPr/>
      </xdr:nvSpPr>
      <xdr:spPr>
        <a:xfrm>
          <a:off x="7347004" y="91868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533" y="0"/>
              </a:moveTo>
              <a:lnTo>
                <a:pt x="0" y="309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  <xdr:oneCellAnchor>
    <xdr:from>
      <xdr:col>5</xdr:col>
      <xdr:colOff>1852612</xdr:colOff>
      <xdr:row>38</xdr:row>
      <xdr:rowOff>23812</xdr:rowOff>
    </xdr:from>
    <xdr:ext cx="1905" cy="635"/>
    <xdr:sp macro="" textlink="">
      <xdr:nvSpPr>
        <xdr:cNvPr id="32" name="Shape 29"/>
        <xdr:cNvSpPr/>
      </xdr:nvSpPr>
      <xdr:spPr>
        <a:xfrm>
          <a:off x="7319962" y="9720262"/>
          <a:ext cx="1905" cy="635"/>
        </a:xfrm>
        <a:custGeom>
          <a:avLst/>
          <a:gdLst/>
          <a:ahLst/>
          <a:cxnLst/>
          <a:rect l="0" t="0" r="0" b="0"/>
          <a:pathLst>
            <a:path w="1905" h="635">
              <a:moveTo>
                <a:pt x="1779" y="359"/>
              </a:moveTo>
              <a:lnTo>
                <a:pt x="0" y="0"/>
              </a:lnTo>
            </a:path>
          </a:pathLst>
        </a:custGeom>
        <a:ln w="38100">
          <a:solidFill>
            <a:srgbClr val="E6E6E6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opLeftCell="B1" zoomScaleNormal="100" workbookViewId="0">
      <selection activeCell="H40" sqref="H40"/>
    </sheetView>
  </sheetViews>
  <sheetFormatPr defaultRowHeight="15.75" x14ac:dyDescent="0.2"/>
  <cols>
    <col min="1" max="1" width="3" style="422" customWidth="1"/>
    <col min="2" max="2" width="18.7109375" style="422" customWidth="1"/>
    <col min="3" max="3" width="69.7109375" style="422" customWidth="1"/>
    <col min="4" max="4" width="9.140625" style="422"/>
    <col min="5" max="6" width="15.7109375" style="422" customWidth="1"/>
    <col min="7" max="8" width="18.28515625" style="422" customWidth="1"/>
    <col min="9" max="9" width="16.5703125" style="426" customWidth="1"/>
    <col min="10" max="259" width="9.140625" style="422"/>
    <col min="260" max="260" width="3" style="422" customWidth="1"/>
    <col min="261" max="261" width="18.7109375" style="422" customWidth="1"/>
    <col min="262" max="262" width="69.7109375" style="422" customWidth="1"/>
    <col min="263" max="263" width="9.140625" style="422"/>
    <col min="264" max="265" width="15.7109375" style="422" customWidth="1"/>
    <col min="266" max="515" width="9.140625" style="422"/>
    <col min="516" max="516" width="3" style="422" customWidth="1"/>
    <col min="517" max="517" width="18.7109375" style="422" customWidth="1"/>
    <col min="518" max="518" width="69.7109375" style="422" customWidth="1"/>
    <col min="519" max="519" width="9.140625" style="422"/>
    <col min="520" max="521" width="15.7109375" style="422" customWidth="1"/>
    <col min="522" max="771" width="9.140625" style="422"/>
    <col min="772" max="772" width="3" style="422" customWidth="1"/>
    <col min="773" max="773" width="18.7109375" style="422" customWidth="1"/>
    <col min="774" max="774" width="69.7109375" style="422" customWidth="1"/>
    <col min="775" max="775" width="9.140625" style="422"/>
    <col min="776" max="777" width="15.7109375" style="422" customWidth="1"/>
    <col min="778" max="1027" width="9.140625" style="422"/>
    <col min="1028" max="1028" width="3" style="422" customWidth="1"/>
    <col min="1029" max="1029" width="18.7109375" style="422" customWidth="1"/>
    <col min="1030" max="1030" width="69.7109375" style="422" customWidth="1"/>
    <col min="1031" max="1031" width="9.140625" style="422"/>
    <col min="1032" max="1033" width="15.7109375" style="422" customWidth="1"/>
    <col min="1034" max="1283" width="9.140625" style="422"/>
    <col min="1284" max="1284" width="3" style="422" customWidth="1"/>
    <col min="1285" max="1285" width="18.7109375" style="422" customWidth="1"/>
    <col min="1286" max="1286" width="69.7109375" style="422" customWidth="1"/>
    <col min="1287" max="1287" width="9.140625" style="422"/>
    <col min="1288" max="1289" width="15.7109375" style="422" customWidth="1"/>
    <col min="1290" max="1539" width="9.140625" style="422"/>
    <col min="1540" max="1540" width="3" style="422" customWidth="1"/>
    <col min="1541" max="1541" width="18.7109375" style="422" customWidth="1"/>
    <col min="1542" max="1542" width="69.7109375" style="422" customWidth="1"/>
    <col min="1543" max="1543" width="9.140625" style="422"/>
    <col min="1544" max="1545" width="15.7109375" style="422" customWidth="1"/>
    <col min="1546" max="1795" width="9.140625" style="422"/>
    <col min="1796" max="1796" width="3" style="422" customWidth="1"/>
    <col min="1797" max="1797" width="18.7109375" style="422" customWidth="1"/>
    <col min="1798" max="1798" width="69.7109375" style="422" customWidth="1"/>
    <col min="1799" max="1799" width="9.140625" style="422"/>
    <col min="1800" max="1801" width="15.7109375" style="422" customWidth="1"/>
    <col min="1802" max="2051" width="9.140625" style="422"/>
    <col min="2052" max="2052" width="3" style="422" customWidth="1"/>
    <col min="2053" max="2053" width="18.7109375" style="422" customWidth="1"/>
    <col min="2054" max="2054" width="69.7109375" style="422" customWidth="1"/>
    <col min="2055" max="2055" width="9.140625" style="422"/>
    <col min="2056" max="2057" width="15.7109375" style="422" customWidth="1"/>
    <col min="2058" max="2307" width="9.140625" style="422"/>
    <col min="2308" max="2308" width="3" style="422" customWidth="1"/>
    <col min="2309" max="2309" width="18.7109375" style="422" customWidth="1"/>
    <col min="2310" max="2310" width="69.7109375" style="422" customWidth="1"/>
    <col min="2311" max="2311" width="9.140625" style="422"/>
    <col min="2312" max="2313" width="15.7109375" style="422" customWidth="1"/>
    <col min="2314" max="2563" width="9.140625" style="422"/>
    <col min="2564" max="2564" width="3" style="422" customWidth="1"/>
    <col min="2565" max="2565" width="18.7109375" style="422" customWidth="1"/>
    <col min="2566" max="2566" width="69.7109375" style="422" customWidth="1"/>
    <col min="2567" max="2567" width="9.140625" style="422"/>
    <col min="2568" max="2569" width="15.7109375" style="422" customWidth="1"/>
    <col min="2570" max="2819" width="9.140625" style="422"/>
    <col min="2820" max="2820" width="3" style="422" customWidth="1"/>
    <col min="2821" max="2821" width="18.7109375" style="422" customWidth="1"/>
    <col min="2822" max="2822" width="69.7109375" style="422" customWidth="1"/>
    <col min="2823" max="2823" width="9.140625" style="422"/>
    <col min="2824" max="2825" width="15.7109375" style="422" customWidth="1"/>
    <col min="2826" max="3075" width="9.140625" style="422"/>
    <col min="3076" max="3076" width="3" style="422" customWidth="1"/>
    <col min="3077" max="3077" width="18.7109375" style="422" customWidth="1"/>
    <col min="3078" max="3078" width="69.7109375" style="422" customWidth="1"/>
    <col min="3079" max="3079" width="9.140625" style="422"/>
    <col min="3080" max="3081" width="15.7109375" style="422" customWidth="1"/>
    <col min="3082" max="3331" width="9.140625" style="422"/>
    <col min="3332" max="3332" width="3" style="422" customWidth="1"/>
    <col min="3333" max="3333" width="18.7109375" style="422" customWidth="1"/>
    <col min="3334" max="3334" width="69.7109375" style="422" customWidth="1"/>
    <col min="3335" max="3335" width="9.140625" style="422"/>
    <col min="3336" max="3337" width="15.7109375" style="422" customWidth="1"/>
    <col min="3338" max="3587" width="9.140625" style="422"/>
    <col min="3588" max="3588" width="3" style="422" customWidth="1"/>
    <col min="3589" max="3589" width="18.7109375" style="422" customWidth="1"/>
    <col min="3590" max="3590" width="69.7109375" style="422" customWidth="1"/>
    <col min="3591" max="3591" width="9.140625" style="422"/>
    <col min="3592" max="3593" width="15.7109375" style="422" customWidth="1"/>
    <col min="3594" max="3843" width="9.140625" style="422"/>
    <col min="3844" max="3844" width="3" style="422" customWidth="1"/>
    <col min="3845" max="3845" width="18.7109375" style="422" customWidth="1"/>
    <col min="3846" max="3846" width="69.7109375" style="422" customWidth="1"/>
    <col min="3847" max="3847" width="9.140625" style="422"/>
    <col min="3848" max="3849" width="15.7109375" style="422" customWidth="1"/>
    <col min="3850" max="4099" width="9.140625" style="422"/>
    <col min="4100" max="4100" width="3" style="422" customWidth="1"/>
    <col min="4101" max="4101" width="18.7109375" style="422" customWidth="1"/>
    <col min="4102" max="4102" width="69.7109375" style="422" customWidth="1"/>
    <col min="4103" max="4103" width="9.140625" style="422"/>
    <col min="4104" max="4105" width="15.7109375" style="422" customWidth="1"/>
    <col min="4106" max="4355" width="9.140625" style="422"/>
    <col min="4356" max="4356" width="3" style="422" customWidth="1"/>
    <col min="4357" max="4357" width="18.7109375" style="422" customWidth="1"/>
    <col min="4358" max="4358" width="69.7109375" style="422" customWidth="1"/>
    <col min="4359" max="4359" width="9.140625" style="422"/>
    <col min="4360" max="4361" width="15.7109375" style="422" customWidth="1"/>
    <col min="4362" max="4611" width="9.140625" style="422"/>
    <col min="4612" max="4612" width="3" style="422" customWidth="1"/>
    <col min="4613" max="4613" width="18.7109375" style="422" customWidth="1"/>
    <col min="4614" max="4614" width="69.7109375" style="422" customWidth="1"/>
    <col min="4615" max="4615" width="9.140625" style="422"/>
    <col min="4616" max="4617" width="15.7109375" style="422" customWidth="1"/>
    <col min="4618" max="4867" width="9.140625" style="422"/>
    <col min="4868" max="4868" width="3" style="422" customWidth="1"/>
    <col min="4869" max="4869" width="18.7109375" style="422" customWidth="1"/>
    <col min="4870" max="4870" width="69.7109375" style="422" customWidth="1"/>
    <col min="4871" max="4871" width="9.140625" style="422"/>
    <col min="4872" max="4873" width="15.7109375" style="422" customWidth="1"/>
    <col min="4874" max="5123" width="9.140625" style="422"/>
    <col min="5124" max="5124" width="3" style="422" customWidth="1"/>
    <col min="5125" max="5125" width="18.7109375" style="422" customWidth="1"/>
    <col min="5126" max="5126" width="69.7109375" style="422" customWidth="1"/>
    <col min="5127" max="5127" width="9.140625" style="422"/>
    <col min="5128" max="5129" width="15.7109375" style="422" customWidth="1"/>
    <col min="5130" max="5379" width="9.140625" style="422"/>
    <col min="5380" max="5380" width="3" style="422" customWidth="1"/>
    <col min="5381" max="5381" width="18.7109375" style="422" customWidth="1"/>
    <col min="5382" max="5382" width="69.7109375" style="422" customWidth="1"/>
    <col min="5383" max="5383" width="9.140625" style="422"/>
    <col min="5384" max="5385" width="15.7109375" style="422" customWidth="1"/>
    <col min="5386" max="5635" width="9.140625" style="422"/>
    <col min="5636" max="5636" width="3" style="422" customWidth="1"/>
    <col min="5637" max="5637" width="18.7109375" style="422" customWidth="1"/>
    <col min="5638" max="5638" width="69.7109375" style="422" customWidth="1"/>
    <col min="5639" max="5639" width="9.140625" style="422"/>
    <col min="5640" max="5641" width="15.7109375" style="422" customWidth="1"/>
    <col min="5642" max="5891" width="9.140625" style="422"/>
    <col min="5892" max="5892" width="3" style="422" customWidth="1"/>
    <col min="5893" max="5893" width="18.7109375" style="422" customWidth="1"/>
    <col min="5894" max="5894" width="69.7109375" style="422" customWidth="1"/>
    <col min="5895" max="5895" width="9.140625" style="422"/>
    <col min="5896" max="5897" width="15.7109375" style="422" customWidth="1"/>
    <col min="5898" max="6147" width="9.140625" style="422"/>
    <col min="6148" max="6148" width="3" style="422" customWidth="1"/>
    <col min="6149" max="6149" width="18.7109375" style="422" customWidth="1"/>
    <col min="6150" max="6150" width="69.7109375" style="422" customWidth="1"/>
    <col min="6151" max="6151" width="9.140625" style="422"/>
    <col min="6152" max="6153" width="15.7109375" style="422" customWidth="1"/>
    <col min="6154" max="6403" width="9.140625" style="422"/>
    <col min="6404" max="6404" width="3" style="422" customWidth="1"/>
    <col min="6405" max="6405" width="18.7109375" style="422" customWidth="1"/>
    <col min="6406" max="6406" width="69.7109375" style="422" customWidth="1"/>
    <col min="6407" max="6407" width="9.140625" style="422"/>
    <col min="6408" max="6409" width="15.7109375" style="422" customWidth="1"/>
    <col min="6410" max="6659" width="9.140625" style="422"/>
    <col min="6660" max="6660" width="3" style="422" customWidth="1"/>
    <col min="6661" max="6661" width="18.7109375" style="422" customWidth="1"/>
    <col min="6662" max="6662" width="69.7109375" style="422" customWidth="1"/>
    <col min="6663" max="6663" width="9.140625" style="422"/>
    <col min="6664" max="6665" width="15.7109375" style="422" customWidth="1"/>
    <col min="6666" max="6915" width="9.140625" style="422"/>
    <col min="6916" max="6916" width="3" style="422" customWidth="1"/>
    <col min="6917" max="6917" width="18.7109375" style="422" customWidth="1"/>
    <col min="6918" max="6918" width="69.7109375" style="422" customWidth="1"/>
    <col min="6919" max="6919" width="9.140625" style="422"/>
    <col min="6920" max="6921" width="15.7109375" style="422" customWidth="1"/>
    <col min="6922" max="7171" width="9.140625" style="422"/>
    <col min="7172" max="7172" width="3" style="422" customWidth="1"/>
    <col min="7173" max="7173" width="18.7109375" style="422" customWidth="1"/>
    <col min="7174" max="7174" width="69.7109375" style="422" customWidth="1"/>
    <col min="7175" max="7175" width="9.140625" style="422"/>
    <col min="7176" max="7177" width="15.7109375" style="422" customWidth="1"/>
    <col min="7178" max="7427" width="9.140625" style="422"/>
    <col min="7428" max="7428" width="3" style="422" customWidth="1"/>
    <col min="7429" max="7429" width="18.7109375" style="422" customWidth="1"/>
    <col min="7430" max="7430" width="69.7109375" style="422" customWidth="1"/>
    <col min="7431" max="7431" width="9.140625" style="422"/>
    <col min="7432" max="7433" width="15.7109375" style="422" customWidth="1"/>
    <col min="7434" max="7683" width="9.140625" style="422"/>
    <col min="7684" max="7684" width="3" style="422" customWidth="1"/>
    <col min="7685" max="7685" width="18.7109375" style="422" customWidth="1"/>
    <col min="7686" max="7686" width="69.7109375" style="422" customWidth="1"/>
    <col min="7687" max="7687" width="9.140625" style="422"/>
    <col min="7688" max="7689" width="15.7109375" style="422" customWidth="1"/>
    <col min="7690" max="7939" width="9.140625" style="422"/>
    <col min="7940" max="7940" width="3" style="422" customWidth="1"/>
    <col min="7941" max="7941" width="18.7109375" style="422" customWidth="1"/>
    <col min="7942" max="7942" width="69.7109375" style="422" customWidth="1"/>
    <col min="7943" max="7943" width="9.140625" style="422"/>
    <col min="7944" max="7945" width="15.7109375" style="422" customWidth="1"/>
    <col min="7946" max="8195" width="9.140625" style="422"/>
    <col min="8196" max="8196" width="3" style="422" customWidth="1"/>
    <col min="8197" max="8197" width="18.7109375" style="422" customWidth="1"/>
    <col min="8198" max="8198" width="69.7109375" style="422" customWidth="1"/>
    <col min="8199" max="8199" width="9.140625" style="422"/>
    <col min="8200" max="8201" width="15.7109375" style="422" customWidth="1"/>
    <col min="8202" max="8451" width="9.140625" style="422"/>
    <col min="8452" max="8452" width="3" style="422" customWidth="1"/>
    <col min="8453" max="8453" width="18.7109375" style="422" customWidth="1"/>
    <col min="8454" max="8454" width="69.7109375" style="422" customWidth="1"/>
    <col min="8455" max="8455" width="9.140625" style="422"/>
    <col min="8456" max="8457" width="15.7109375" style="422" customWidth="1"/>
    <col min="8458" max="8707" width="9.140625" style="422"/>
    <col min="8708" max="8708" width="3" style="422" customWidth="1"/>
    <col min="8709" max="8709" width="18.7109375" style="422" customWidth="1"/>
    <col min="8710" max="8710" width="69.7109375" style="422" customWidth="1"/>
    <col min="8711" max="8711" width="9.140625" style="422"/>
    <col min="8712" max="8713" width="15.7109375" style="422" customWidth="1"/>
    <col min="8714" max="8963" width="9.140625" style="422"/>
    <col min="8964" max="8964" width="3" style="422" customWidth="1"/>
    <col min="8965" max="8965" width="18.7109375" style="422" customWidth="1"/>
    <col min="8966" max="8966" width="69.7109375" style="422" customWidth="1"/>
    <col min="8967" max="8967" width="9.140625" style="422"/>
    <col min="8968" max="8969" width="15.7109375" style="422" customWidth="1"/>
    <col min="8970" max="9219" width="9.140625" style="422"/>
    <col min="9220" max="9220" width="3" style="422" customWidth="1"/>
    <col min="9221" max="9221" width="18.7109375" style="422" customWidth="1"/>
    <col min="9222" max="9222" width="69.7109375" style="422" customWidth="1"/>
    <col min="9223" max="9223" width="9.140625" style="422"/>
    <col min="9224" max="9225" width="15.7109375" style="422" customWidth="1"/>
    <col min="9226" max="9475" width="9.140625" style="422"/>
    <col min="9476" max="9476" width="3" style="422" customWidth="1"/>
    <col min="9477" max="9477" width="18.7109375" style="422" customWidth="1"/>
    <col min="9478" max="9478" width="69.7109375" style="422" customWidth="1"/>
    <col min="9479" max="9479" width="9.140625" style="422"/>
    <col min="9480" max="9481" width="15.7109375" style="422" customWidth="1"/>
    <col min="9482" max="9731" width="9.140625" style="422"/>
    <col min="9732" max="9732" width="3" style="422" customWidth="1"/>
    <col min="9733" max="9733" width="18.7109375" style="422" customWidth="1"/>
    <col min="9734" max="9734" width="69.7109375" style="422" customWidth="1"/>
    <col min="9735" max="9735" width="9.140625" style="422"/>
    <col min="9736" max="9737" width="15.7109375" style="422" customWidth="1"/>
    <col min="9738" max="9987" width="9.140625" style="422"/>
    <col min="9988" max="9988" width="3" style="422" customWidth="1"/>
    <col min="9989" max="9989" width="18.7109375" style="422" customWidth="1"/>
    <col min="9990" max="9990" width="69.7109375" style="422" customWidth="1"/>
    <col min="9991" max="9991" width="9.140625" style="422"/>
    <col min="9992" max="9993" width="15.7109375" style="422" customWidth="1"/>
    <col min="9994" max="10243" width="9.140625" style="422"/>
    <col min="10244" max="10244" width="3" style="422" customWidth="1"/>
    <col min="10245" max="10245" width="18.7109375" style="422" customWidth="1"/>
    <col min="10246" max="10246" width="69.7109375" style="422" customWidth="1"/>
    <col min="10247" max="10247" width="9.140625" style="422"/>
    <col min="10248" max="10249" width="15.7109375" style="422" customWidth="1"/>
    <col min="10250" max="10499" width="9.140625" style="422"/>
    <col min="10500" max="10500" width="3" style="422" customWidth="1"/>
    <col min="10501" max="10501" width="18.7109375" style="422" customWidth="1"/>
    <col min="10502" max="10502" width="69.7109375" style="422" customWidth="1"/>
    <col min="10503" max="10503" width="9.140625" style="422"/>
    <col min="10504" max="10505" width="15.7109375" style="422" customWidth="1"/>
    <col min="10506" max="10755" width="9.140625" style="422"/>
    <col min="10756" max="10756" width="3" style="422" customWidth="1"/>
    <col min="10757" max="10757" width="18.7109375" style="422" customWidth="1"/>
    <col min="10758" max="10758" width="69.7109375" style="422" customWidth="1"/>
    <col min="10759" max="10759" width="9.140625" style="422"/>
    <col min="10760" max="10761" width="15.7109375" style="422" customWidth="1"/>
    <col min="10762" max="11011" width="9.140625" style="422"/>
    <col min="11012" max="11012" width="3" style="422" customWidth="1"/>
    <col min="11013" max="11013" width="18.7109375" style="422" customWidth="1"/>
    <col min="11014" max="11014" width="69.7109375" style="422" customWidth="1"/>
    <col min="11015" max="11015" width="9.140625" style="422"/>
    <col min="11016" max="11017" width="15.7109375" style="422" customWidth="1"/>
    <col min="11018" max="11267" width="9.140625" style="422"/>
    <col min="11268" max="11268" width="3" style="422" customWidth="1"/>
    <col min="11269" max="11269" width="18.7109375" style="422" customWidth="1"/>
    <col min="11270" max="11270" width="69.7109375" style="422" customWidth="1"/>
    <col min="11271" max="11271" width="9.140625" style="422"/>
    <col min="11272" max="11273" width="15.7109375" style="422" customWidth="1"/>
    <col min="11274" max="11523" width="9.140625" style="422"/>
    <col min="11524" max="11524" width="3" style="422" customWidth="1"/>
    <col min="11525" max="11525" width="18.7109375" style="422" customWidth="1"/>
    <col min="11526" max="11526" width="69.7109375" style="422" customWidth="1"/>
    <col min="11527" max="11527" width="9.140625" style="422"/>
    <col min="11528" max="11529" width="15.7109375" style="422" customWidth="1"/>
    <col min="11530" max="11779" width="9.140625" style="422"/>
    <col min="11780" max="11780" width="3" style="422" customWidth="1"/>
    <col min="11781" max="11781" width="18.7109375" style="422" customWidth="1"/>
    <col min="11782" max="11782" width="69.7109375" style="422" customWidth="1"/>
    <col min="11783" max="11783" width="9.140625" style="422"/>
    <col min="11784" max="11785" width="15.7109375" style="422" customWidth="1"/>
    <col min="11786" max="12035" width="9.140625" style="422"/>
    <col min="12036" max="12036" width="3" style="422" customWidth="1"/>
    <col min="12037" max="12037" width="18.7109375" style="422" customWidth="1"/>
    <col min="12038" max="12038" width="69.7109375" style="422" customWidth="1"/>
    <col min="12039" max="12039" width="9.140625" style="422"/>
    <col min="12040" max="12041" width="15.7109375" style="422" customWidth="1"/>
    <col min="12042" max="12291" width="9.140625" style="422"/>
    <col min="12292" max="12292" width="3" style="422" customWidth="1"/>
    <col min="12293" max="12293" width="18.7109375" style="422" customWidth="1"/>
    <col min="12294" max="12294" width="69.7109375" style="422" customWidth="1"/>
    <col min="12295" max="12295" width="9.140625" style="422"/>
    <col min="12296" max="12297" width="15.7109375" style="422" customWidth="1"/>
    <col min="12298" max="12547" width="9.140625" style="422"/>
    <col min="12548" max="12548" width="3" style="422" customWidth="1"/>
    <col min="12549" max="12549" width="18.7109375" style="422" customWidth="1"/>
    <col min="12550" max="12550" width="69.7109375" style="422" customWidth="1"/>
    <col min="12551" max="12551" width="9.140625" style="422"/>
    <col min="12552" max="12553" width="15.7109375" style="422" customWidth="1"/>
    <col min="12554" max="12803" width="9.140625" style="422"/>
    <col min="12804" max="12804" width="3" style="422" customWidth="1"/>
    <col min="12805" max="12805" width="18.7109375" style="422" customWidth="1"/>
    <col min="12806" max="12806" width="69.7109375" style="422" customWidth="1"/>
    <col min="12807" max="12807" width="9.140625" style="422"/>
    <col min="12808" max="12809" width="15.7109375" style="422" customWidth="1"/>
    <col min="12810" max="13059" width="9.140625" style="422"/>
    <col min="13060" max="13060" width="3" style="422" customWidth="1"/>
    <col min="13061" max="13061" width="18.7109375" style="422" customWidth="1"/>
    <col min="13062" max="13062" width="69.7109375" style="422" customWidth="1"/>
    <col min="13063" max="13063" width="9.140625" style="422"/>
    <col min="13064" max="13065" width="15.7109375" style="422" customWidth="1"/>
    <col min="13066" max="13315" width="9.140625" style="422"/>
    <col min="13316" max="13316" width="3" style="422" customWidth="1"/>
    <col min="13317" max="13317" width="18.7109375" style="422" customWidth="1"/>
    <col min="13318" max="13318" width="69.7109375" style="422" customWidth="1"/>
    <col min="13319" max="13319" width="9.140625" style="422"/>
    <col min="13320" max="13321" width="15.7109375" style="422" customWidth="1"/>
    <col min="13322" max="13571" width="9.140625" style="422"/>
    <col min="13572" max="13572" width="3" style="422" customWidth="1"/>
    <col min="13573" max="13573" width="18.7109375" style="422" customWidth="1"/>
    <col min="13574" max="13574" width="69.7109375" style="422" customWidth="1"/>
    <col min="13575" max="13575" width="9.140625" style="422"/>
    <col min="13576" max="13577" width="15.7109375" style="422" customWidth="1"/>
    <col min="13578" max="13827" width="9.140625" style="422"/>
    <col min="13828" max="13828" width="3" style="422" customWidth="1"/>
    <col min="13829" max="13829" width="18.7109375" style="422" customWidth="1"/>
    <col min="13830" max="13830" width="69.7109375" style="422" customWidth="1"/>
    <col min="13831" max="13831" width="9.140625" style="422"/>
    <col min="13832" max="13833" width="15.7109375" style="422" customWidth="1"/>
    <col min="13834" max="14083" width="9.140625" style="422"/>
    <col min="14084" max="14084" width="3" style="422" customWidth="1"/>
    <col min="14085" max="14085" width="18.7109375" style="422" customWidth="1"/>
    <col min="14086" max="14086" width="69.7109375" style="422" customWidth="1"/>
    <col min="14087" max="14087" width="9.140625" style="422"/>
    <col min="14088" max="14089" width="15.7109375" style="422" customWidth="1"/>
    <col min="14090" max="14339" width="9.140625" style="422"/>
    <col min="14340" max="14340" width="3" style="422" customWidth="1"/>
    <col min="14341" max="14341" width="18.7109375" style="422" customWidth="1"/>
    <col min="14342" max="14342" width="69.7109375" style="422" customWidth="1"/>
    <col min="14343" max="14343" width="9.140625" style="422"/>
    <col min="14344" max="14345" width="15.7109375" style="422" customWidth="1"/>
    <col min="14346" max="14595" width="9.140625" style="422"/>
    <col min="14596" max="14596" width="3" style="422" customWidth="1"/>
    <col min="14597" max="14597" width="18.7109375" style="422" customWidth="1"/>
    <col min="14598" max="14598" width="69.7109375" style="422" customWidth="1"/>
    <col min="14599" max="14599" width="9.140625" style="422"/>
    <col min="14600" max="14601" width="15.7109375" style="422" customWidth="1"/>
    <col min="14602" max="14851" width="9.140625" style="422"/>
    <col min="14852" max="14852" width="3" style="422" customWidth="1"/>
    <col min="14853" max="14853" width="18.7109375" style="422" customWidth="1"/>
    <col min="14854" max="14854" width="69.7109375" style="422" customWidth="1"/>
    <col min="14855" max="14855" width="9.140625" style="422"/>
    <col min="14856" max="14857" width="15.7109375" style="422" customWidth="1"/>
    <col min="14858" max="15107" width="9.140625" style="422"/>
    <col min="15108" max="15108" width="3" style="422" customWidth="1"/>
    <col min="15109" max="15109" width="18.7109375" style="422" customWidth="1"/>
    <col min="15110" max="15110" width="69.7109375" style="422" customWidth="1"/>
    <col min="15111" max="15111" width="9.140625" style="422"/>
    <col min="15112" max="15113" width="15.7109375" style="422" customWidth="1"/>
    <col min="15114" max="15363" width="9.140625" style="422"/>
    <col min="15364" max="15364" width="3" style="422" customWidth="1"/>
    <col min="15365" max="15365" width="18.7109375" style="422" customWidth="1"/>
    <col min="15366" max="15366" width="69.7109375" style="422" customWidth="1"/>
    <col min="15367" max="15367" width="9.140625" style="422"/>
    <col min="15368" max="15369" width="15.7109375" style="422" customWidth="1"/>
    <col min="15370" max="15619" width="9.140625" style="422"/>
    <col min="15620" max="15620" width="3" style="422" customWidth="1"/>
    <col min="15621" max="15621" width="18.7109375" style="422" customWidth="1"/>
    <col min="15622" max="15622" width="69.7109375" style="422" customWidth="1"/>
    <col min="15623" max="15623" width="9.140625" style="422"/>
    <col min="15624" max="15625" width="15.7109375" style="422" customWidth="1"/>
    <col min="15626" max="15875" width="9.140625" style="422"/>
    <col min="15876" max="15876" width="3" style="422" customWidth="1"/>
    <col min="15877" max="15877" width="18.7109375" style="422" customWidth="1"/>
    <col min="15878" max="15878" width="69.7109375" style="422" customWidth="1"/>
    <col min="15879" max="15879" width="9.140625" style="422"/>
    <col min="15880" max="15881" width="15.7109375" style="422" customWidth="1"/>
    <col min="15882" max="16131" width="9.140625" style="422"/>
    <col min="16132" max="16132" width="3" style="422" customWidth="1"/>
    <col min="16133" max="16133" width="18.7109375" style="422" customWidth="1"/>
    <col min="16134" max="16134" width="69.7109375" style="422" customWidth="1"/>
    <col min="16135" max="16135" width="9.140625" style="422"/>
    <col min="16136" max="16137" width="15.7109375" style="422" customWidth="1"/>
    <col min="16138" max="16384" width="9.140625" style="422"/>
  </cols>
  <sheetData>
    <row r="1" spans="1:11" x14ac:dyDescent="0.2">
      <c r="F1" s="423"/>
      <c r="H1" s="424"/>
      <c r="I1" s="424" t="s">
        <v>666</v>
      </c>
      <c r="J1" s="425"/>
      <c r="K1" s="425"/>
    </row>
    <row r="2" spans="1:11" ht="18.75" x14ac:dyDescent="0.2">
      <c r="B2" s="506" t="s">
        <v>575</v>
      </c>
      <c r="C2" s="506"/>
      <c r="D2" s="506"/>
      <c r="E2" s="506"/>
      <c r="F2" s="506"/>
      <c r="G2" s="506"/>
      <c r="H2" s="506"/>
      <c r="I2" s="506"/>
    </row>
    <row r="3" spans="1:11" ht="18.75" x14ac:dyDescent="0.2">
      <c r="B3" s="506" t="s">
        <v>764</v>
      </c>
      <c r="C3" s="506"/>
      <c r="D3" s="506"/>
      <c r="E3" s="506"/>
      <c r="F3" s="506"/>
      <c r="G3" s="506"/>
      <c r="H3" s="506"/>
      <c r="I3" s="506"/>
    </row>
    <row r="4" spans="1:11" x14ac:dyDescent="0.2">
      <c r="B4" s="425"/>
      <c r="C4" s="425"/>
      <c r="D4" s="425"/>
      <c r="E4" s="425"/>
      <c r="F4" s="425"/>
      <c r="G4" s="426"/>
      <c r="H4" s="426"/>
    </row>
    <row r="5" spans="1:11" ht="16.5" thickBot="1" x14ac:dyDescent="0.25">
      <c r="B5" s="427"/>
      <c r="C5" s="427"/>
      <c r="D5" s="427"/>
      <c r="E5" s="425"/>
      <c r="F5" s="425"/>
      <c r="G5" s="426"/>
      <c r="H5" s="426"/>
      <c r="I5" s="426" t="s">
        <v>124</v>
      </c>
    </row>
    <row r="6" spans="1:11" ht="15.75" customHeight="1" x14ac:dyDescent="0.2">
      <c r="B6" s="507" t="s">
        <v>56</v>
      </c>
      <c r="C6" s="509" t="s">
        <v>57</v>
      </c>
      <c r="D6" s="511" t="s">
        <v>80</v>
      </c>
      <c r="E6" s="513" t="s">
        <v>735</v>
      </c>
      <c r="F6" s="515" t="s">
        <v>736</v>
      </c>
      <c r="G6" s="517" t="s">
        <v>765</v>
      </c>
      <c r="H6" s="518"/>
      <c r="I6" s="519" t="s">
        <v>768</v>
      </c>
    </row>
    <row r="7" spans="1:11" ht="33.75" customHeight="1" x14ac:dyDescent="0.2">
      <c r="A7" s="428"/>
      <c r="B7" s="508"/>
      <c r="C7" s="510"/>
      <c r="D7" s="512"/>
      <c r="E7" s="514"/>
      <c r="F7" s="516"/>
      <c r="G7" s="462" t="s">
        <v>63</v>
      </c>
      <c r="H7" s="461" t="s">
        <v>44</v>
      </c>
      <c r="I7" s="520"/>
    </row>
    <row r="8" spans="1:11" ht="16.5" thickBot="1" x14ac:dyDescent="0.25">
      <c r="A8" s="429"/>
      <c r="B8" s="430">
        <v>1</v>
      </c>
      <c r="C8" s="431">
        <v>2</v>
      </c>
      <c r="D8" s="432">
        <v>3</v>
      </c>
      <c r="E8" s="433">
        <v>4</v>
      </c>
      <c r="F8" s="432">
        <v>5</v>
      </c>
      <c r="G8" s="434">
        <v>6</v>
      </c>
      <c r="H8" s="435">
        <v>7</v>
      </c>
      <c r="I8" s="436">
        <v>8</v>
      </c>
    </row>
    <row r="9" spans="1:11" x14ac:dyDescent="0.2">
      <c r="A9" s="429"/>
      <c r="B9" s="504"/>
      <c r="C9" s="437" t="s">
        <v>576</v>
      </c>
      <c r="D9" s="493">
        <v>1001</v>
      </c>
      <c r="E9" s="505">
        <v>771123</v>
      </c>
      <c r="F9" s="505">
        <f>F14+F11+F17+F18-F19+F20+F21</f>
        <v>918000</v>
      </c>
      <c r="G9" s="505">
        <f>G11+G14+G17+G18-G19+G20+G21</f>
        <v>918000</v>
      </c>
      <c r="H9" s="505">
        <f>H11+H14+H17+H18-H19+H20+H21</f>
        <v>765923</v>
      </c>
      <c r="I9" s="521">
        <f>H9/G9</f>
        <v>0.83433877995642702</v>
      </c>
    </row>
    <row r="10" spans="1:11" x14ac:dyDescent="0.2">
      <c r="A10" s="429"/>
      <c r="B10" s="500"/>
      <c r="C10" s="438" t="s">
        <v>577</v>
      </c>
      <c r="D10" s="501"/>
      <c r="E10" s="497"/>
      <c r="F10" s="497"/>
      <c r="G10" s="497"/>
      <c r="H10" s="497"/>
      <c r="I10" s="499"/>
    </row>
    <row r="11" spans="1:11" x14ac:dyDescent="0.2">
      <c r="A11" s="429"/>
      <c r="B11" s="439">
        <v>60</v>
      </c>
      <c r="C11" s="440" t="s">
        <v>578</v>
      </c>
      <c r="D11" s="441">
        <v>1002</v>
      </c>
      <c r="E11" s="442"/>
      <c r="F11" s="443"/>
      <c r="G11" s="444"/>
      <c r="H11" s="443"/>
      <c r="I11" s="454"/>
    </row>
    <row r="12" spans="1:11" x14ac:dyDescent="0.2">
      <c r="A12" s="429"/>
      <c r="B12" s="439" t="s">
        <v>579</v>
      </c>
      <c r="C12" s="440" t="s">
        <v>580</v>
      </c>
      <c r="D12" s="441">
        <v>1003</v>
      </c>
      <c r="E12" s="442"/>
      <c r="F12" s="443"/>
      <c r="G12" s="444"/>
      <c r="H12" s="443"/>
      <c r="I12" s="454"/>
    </row>
    <row r="13" spans="1:11" x14ac:dyDescent="0.2">
      <c r="A13" s="429"/>
      <c r="B13" s="439" t="s">
        <v>581</v>
      </c>
      <c r="C13" s="440" t="s">
        <v>582</v>
      </c>
      <c r="D13" s="441">
        <v>1004</v>
      </c>
      <c r="E13" s="442"/>
      <c r="F13" s="443"/>
      <c r="G13" s="444"/>
      <c r="I13" s="454"/>
    </row>
    <row r="14" spans="1:11" x14ac:dyDescent="0.2">
      <c r="A14" s="429"/>
      <c r="B14" s="439">
        <v>61</v>
      </c>
      <c r="C14" s="440" t="s">
        <v>725</v>
      </c>
      <c r="D14" s="441">
        <v>1005</v>
      </c>
      <c r="E14" s="443">
        <f>SUM(E15:E16)</f>
        <v>754100</v>
      </c>
      <c r="F14" s="443">
        <f>SUM(F15:F16)</f>
        <v>900000</v>
      </c>
      <c r="G14" s="443">
        <f t="shared" ref="G14" si="0">SUM(G15:G16)</f>
        <v>900000</v>
      </c>
      <c r="H14" s="443">
        <f>H15+H16</f>
        <v>749278</v>
      </c>
      <c r="I14" s="454">
        <f>H14/G14</f>
        <v>0.83253111111111111</v>
      </c>
    </row>
    <row r="15" spans="1:11" x14ac:dyDescent="0.2">
      <c r="A15" s="429"/>
      <c r="B15" s="439" t="s">
        <v>583</v>
      </c>
      <c r="C15" s="440" t="s">
        <v>584</v>
      </c>
      <c r="D15" s="441">
        <v>1006</v>
      </c>
      <c r="E15" s="442">
        <v>754100</v>
      </c>
      <c r="F15" s="443">
        <v>900000</v>
      </c>
      <c r="G15" s="444">
        <v>900000</v>
      </c>
      <c r="H15" s="443">
        <v>749278</v>
      </c>
      <c r="I15" s="454">
        <f t="shared" ref="I15:I36" si="1">H15/G15</f>
        <v>0.83253111111111111</v>
      </c>
    </row>
    <row r="16" spans="1:11" x14ac:dyDescent="0.2">
      <c r="A16" s="429"/>
      <c r="B16" s="439" t="s">
        <v>585</v>
      </c>
      <c r="C16" s="440" t="s">
        <v>586</v>
      </c>
      <c r="D16" s="441">
        <v>1007</v>
      </c>
      <c r="E16" s="442"/>
      <c r="F16" s="443"/>
      <c r="G16" s="444"/>
      <c r="H16" s="443"/>
      <c r="I16" s="454"/>
    </row>
    <row r="17" spans="1:9" x14ac:dyDescent="0.2">
      <c r="A17" s="429"/>
      <c r="B17" s="439">
        <v>62</v>
      </c>
      <c r="C17" s="440" t="s">
        <v>587</v>
      </c>
      <c r="D17" s="441">
        <v>1008</v>
      </c>
      <c r="E17" s="442">
        <v>8000</v>
      </c>
      <c r="F17" s="443">
        <v>5000</v>
      </c>
      <c r="G17" s="444">
        <v>5000</v>
      </c>
      <c r="H17" s="443">
        <v>4965</v>
      </c>
      <c r="I17" s="454"/>
    </row>
    <row r="18" spans="1:9" x14ac:dyDescent="0.2">
      <c r="A18" s="429"/>
      <c r="B18" s="439">
        <v>630</v>
      </c>
      <c r="C18" s="440" t="s">
        <v>588</v>
      </c>
      <c r="D18" s="441">
        <v>1009</v>
      </c>
      <c r="E18" s="442"/>
      <c r="F18" s="443"/>
      <c r="G18" s="444"/>
      <c r="H18" s="443"/>
      <c r="I18" s="454"/>
    </row>
    <row r="19" spans="1:9" x14ac:dyDescent="0.2">
      <c r="A19" s="429"/>
      <c r="B19" s="439">
        <v>631</v>
      </c>
      <c r="C19" s="440" t="s">
        <v>589</v>
      </c>
      <c r="D19" s="441">
        <v>1010</v>
      </c>
      <c r="E19" s="442"/>
      <c r="F19" s="443"/>
      <c r="G19" s="444"/>
      <c r="H19" s="443"/>
      <c r="I19" s="454"/>
    </row>
    <row r="20" spans="1:9" x14ac:dyDescent="0.2">
      <c r="A20" s="429"/>
      <c r="B20" s="439" t="s">
        <v>590</v>
      </c>
      <c r="C20" s="440" t="s">
        <v>591</v>
      </c>
      <c r="D20" s="441">
        <v>1011</v>
      </c>
      <c r="E20" s="442">
        <v>9023</v>
      </c>
      <c r="F20" s="443">
        <v>13000</v>
      </c>
      <c r="G20" s="444">
        <v>13000</v>
      </c>
      <c r="H20" s="443">
        <v>11679</v>
      </c>
      <c r="I20" s="454">
        <f t="shared" si="1"/>
        <v>0.89838461538461534</v>
      </c>
    </row>
    <row r="21" spans="1:9" x14ac:dyDescent="0.2">
      <c r="A21" s="429"/>
      <c r="B21" s="439" t="s">
        <v>592</v>
      </c>
      <c r="C21" s="440" t="s">
        <v>593</v>
      </c>
      <c r="D21" s="441">
        <v>1012</v>
      </c>
      <c r="E21" s="442"/>
      <c r="F21" s="443"/>
      <c r="G21" s="444"/>
      <c r="H21" s="443">
        <v>1</v>
      </c>
      <c r="I21" s="454"/>
    </row>
    <row r="22" spans="1:9" x14ac:dyDescent="0.2">
      <c r="A22" s="429"/>
      <c r="B22" s="439"/>
      <c r="C22" s="445" t="s">
        <v>594</v>
      </c>
      <c r="D22" s="441">
        <v>1013</v>
      </c>
      <c r="E22" s="443">
        <f>E24+E25+E29+E31+E32+E33+E30</f>
        <v>739559</v>
      </c>
      <c r="F22" s="443">
        <f t="shared" ref="F22:G22" si="2">F24+F25+F29+F31+F32+F33+F30</f>
        <v>915699</v>
      </c>
      <c r="G22" s="443">
        <f t="shared" si="2"/>
        <v>915699</v>
      </c>
      <c r="H22" s="443">
        <f>H24+H25+H29+H31+H32+H33+H30</f>
        <v>746827</v>
      </c>
      <c r="I22" s="454">
        <f t="shared" si="1"/>
        <v>0.81558132093624647</v>
      </c>
    </row>
    <row r="23" spans="1:9" x14ac:dyDescent="0.2">
      <c r="A23" s="429"/>
      <c r="B23" s="439">
        <v>50</v>
      </c>
      <c r="C23" s="440" t="s">
        <v>595</v>
      </c>
      <c r="D23" s="441">
        <v>1014</v>
      </c>
      <c r="E23" s="442"/>
      <c r="F23" s="443"/>
      <c r="G23" s="444"/>
      <c r="I23" s="454"/>
    </row>
    <row r="24" spans="1:9" x14ac:dyDescent="0.2">
      <c r="A24" s="429"/>
      <c r="B24" s="439">
        <v>51</v>
      </c>
      <c r="C24" s="440" t="s">
        <v>596</v>
      </c>
      <c r="D24" s="441">
        <v>1015</v>
      </c>
      <c r="E24" s="442">
        <v>199246</v>
      </c>
      <c r="F24" s="443">
        <v>214200</v>
      </c>
      <c r="G24" s="444">
        <v>214200</v>
      </c>
      <c r="H24" s="443">
        <v>178773</v>
      </c>
      <c r="I24" s="454">
        <f t="shared" si="1"/>
        <v>0.83460784313725489</v>
      </c>
    </row>
    <row r="25" spans="1:9" x14ac:dyDescent="0.2">
      <c r="A25" s="429"/>
      <c r="B25" s="439">
        <v>52</v>
      </c>
      <c r="C25" s="440" t="s">
        <v>597</v>
      </c>
      <c r="D25" s="441">
        <v>1016</v>
      </c>
      <c r="E25" s="443">
        <f t="shared" ref="E25:H25" si="3">SUM(E26:E28)</f>
        <v>372742</v>
      </c>
      <c r="F25" s="443">
        <f t="shared" si="3"/>
        <v>509099</v>
      </c>
      <c r="G25" s="443">
        <f t="shared" si="3"/>
        <v>509099</v>
      </c>
      <c r="H25" s="443">
        <f t="shared" si="3"/>
        <v>406462</v>
      </c>
      <c r="I25" s="454">
        <f t="shared" si="1"/>
        <v>0.79839481122532163</v>
      </c>
    </row>
    <row r="26" spans="1:9" x14ac:dyDescent="0.2">
      <c r="A26" s="429"/>
      <c r="B26" s="439">
        <v>520</v>
      </c>
      <c r="C26" s="440" t="s">
        <v>598</v>
      </c>
      <c r="D26" s="441">
        <v>1017</v>
      </c>
      <c r="E26" s="442">
        <v>293226</v>
      </c>
      <c r="F26" s="443">
        <v>401302</v>
      </c>
      <c r="G26" s="444">
        <v>401302</v>
      </c>
      <c r="H26" s="443">
        <v>328580</v>
      </c>
      <c r="I26" s="454">
        <f t="shared" si="1"/>
        <v>0.81878485529601153</v>
      </c>
    </row>
    <row r="27" spans="1:9" x14ac:dyDescent="0.2">
      <c r="A27" s="429"/>
      <c r="B27" s="439">
        <v>521</v>
      </c>
      <c r="C27" s="440" t="s">
        <v>599</v>
      </c>
      <c r="D27" s="441">
        <v>1018</v>
      </c>
      <c r="E27" s="442">
        <v>44429</v>
      </c>
      <c r="F27" s="443">
        <v>60798</v>
      </c>
      <c r="G27" s="444">
        <v>60798</v>
      </c>
      <c r="H27" s="443">
        <v>49780</v>
      </c>
      <c r="I27" s="454">
        <f t="shared" si="1"/>
        <v>0.81877693345175828</v>
      </c>
    </row>
    <row r="28" spans="1:9" x14ac:dyDescent="0.2">
      <c r="A28" s="429"/>
      <c r="B28" s="439" t="s">
        <v>600</v>
      </c>
      <c r="C28" s="440" t="s">
        <v>601</v>
      </c>
      <c r="D28" s="441">
        <v>1019</v>
      </c>
      <c r="E28" s="442">
        <v>35087</v>
      </c>
      <c r="F28" s="443">
        <v>46999</v>
      </c>
      <c r="G28" s="444">
        <v>46999</v>
      </c>
      <c r="H28" s="443">
        <v>28102</v>
      </c>
      <c r="I28" s="454">
        <f t="shared" si="1"/>
        <v>0.59792761548118045</v>
      </c>
    </row>
    <row r="29" spans="1:9" x14ac:dyDescent="0.2">
      <c r="A29" s="429"/>
      <c r="B29" s="439">
        <v>540</v>
      </c>
      <c r="C29" s="440" t="s">
        <v>602</v>
      </c>
      <c r="D29" s="441">
        <v>1020</v>
      </c>
      <c r="E29" s="442">
        <v>87272</v>
      </c>
      <c r="F29" s="443">
        <v>102000</v>
      </c>
      <c r="G29" s="444">
        <v>102000</v>
      </c>
      <c r="H29" s="443">
        <v>87205</v>
      </c>
      <c r="I29" s="454">
        <f t="shared" si="1"/>
        <v>0.85495098039215689</v>
      </c>
    </row>
    <row r="30" spans="1:9" x14ac:dyDescent="0.2">
      <c r="A30" s="429"/>
      <c r="B30" s="439" t="s">
        <v>603</v>
      </c>
      <c r="C30" s="440" t="s">
        <v>604</v>
      </c>
      <c r="D30" s="441">
        <v>1021</v>
      </c>
      <c r="E30" s="442">
        <v>4</v>
      </c>
      <c r="F30" s="443"/>
      <c r="G30" s="444"/>
      <c r="H30" s="443"/>
      <c r="I30" s="454"/>
    </row>
    <row r="31" spans="1:9" x14ac:dyDescent="0.2">
      <c r="A31" s="429"/>
      <c r="B31" s="439">
        <v>53</v>
      </c>
      <c r="C31" s="440" t="s">
        <v>605</v>
      </c>
      <c r="D31" s="441">
        <v>1022</v>
      </c>
      <c r="E31" s="442">
        <v>53354</v>
      </c>
      <c r="F31" s="443">
        <v>57500</v>
      </c>
      <c r="G31" s="444">
        <v>57500</v>
      </c>
      <c r="H31" s="443">
        <v>47969</v>
      </c>
      <c r="I31" s="454">
        <f t="shared" si="1"/>
        <v>0.83424347826086953</v>
      </c>
    </row>
    <row r="32" spans="1:9" x14ac:dyDescent="0.2">
      <c r="A32" s="429"/>
      <c r="B32" s="439" t="s">
        <v>606</v>
      </c>
      <c r="C32" s="440" t="s">
        <v>607</v>
      </c>
      <c r="D32" s="441">
        <v>1023</v>
      </c>
      <c r="E32" s="442">
        <v>3437</v>
      </c>
      <c r="F32" s="443">
        <v>2000</v>
      </c>
      <c r="G32" s="444">
        <v>2000</v>
      </c>
      <c r="H32" s="443">
        <v>3550</v>
      </c>
      <c r="I32" s="454">
        <f t="shared" si="1"/>
        <v>1.7749999999999999</v>
      </c>
    </row>
    <row r="33" spans="1:9" x14ac:dyDescent="0.2">
      <c r="A33" s="429"/>
      <c r="B33" s="439">
        <v>55</v>
      </c>
      <c r="C33" s="440" t="s">
        <v>608</v>
      </c>
      <c r="D33" s="441">
        <v>1024</v>
      </c>
      <c r="E33" s="442">
        <v>23504</v>
      </c>
      <c r="F33" s="443">
        <v>30900</v>
      </c>
      <c r="G33" s="444">
        <v>30900</v>
      </c>
      <c r="H33" s="443">
        <v>22868</v>
      </c>
      <c r="I33" s="454">
        <f t="shared" si="1"/>
        <v>0.74006472491909381</v>
      </c>
    </row>
    <row r="34" spans="1:9" x14ac:dyDescent="0.2">
      <c r="A34" s="429"/>
      <c r="B34" s="439"/>
      <c r="C34" s="445" t="s">
        <v>609</v>
      </c>
      <c r="D34" s="441">
        <v>1025</v>
      </c>
      <c r="E34" s="443">
        <f t="shared" ref="E34:H34" si="4">E9-E22</f>
        <v>31564</v>
      </c>
      <c r="F34" s="443">
        <f t="shared" si="4"/>
        <v>2301</v>
      </c>
      <c r="G34" s="443">
        <f t="shared" si="4"/>
        <v>2301</v>
      </c>
      <c r="H34" s="443">
        <f t="shared" si="4"/>
        <v>19096</v>
      </c>
      <c r="I34" s="454">
        <f t="shared" si="1"/>
        <v>8.2990004345936548</v>
      </c>
    </row>
    <row r="35" spans="1:9" x14ac:dyDescent="0.2">
      <c r="A35" s="429"/>
      <c r="B35" s="439"/>
      <c r="C35" s="445" t="s">
        <v>610</v>
      </c>
      <c r="D35" s="441">
        <v>1026</v>
      </c>
      <c r="E35" s="442"/>
      <c r="F35" s="443"/>
      <c r="G35" s="444"/>
      <c r="H35" s="443"/>
      <c r="I35" s="454"/>
    </row>
    <row r="36" spans="1:9" x14ac:dyDescent="0.2">
      <c r="A36" s="429"/>
      <c r="B36" s="500"/>
      <c r="C36" s="446" t="s">
        <v>611</v>
      </c>
      <c r="D36" s="501">
        <v>1027</v>
      </c>
      <c r="E36" s="496">
        <f>E38+E39+E40+E41</f>
        <v>12512</v>
      </c>
      <c r="F36" s="496">
        <f t="shared" ref="F36:H36" si="5">F38+F39+F40+F41</f>
        <v>12600</v>
      </c>
      <c r="G36" s="496">
        <f t="shared" si="5"/>
        <v>12600</v>
      </c>
      <c r="H36" s="496">
        <f t="shared" si="5"/>
        <v>8110</v>
      </c>
      <c r="I36" s="502">
        <f t="shared" si="1"/>
        <v>0.6436507936507937</v>
      </c>
    </row>
    <row r="37" spans="1:9" x14ac:dyDescent="0.2">
      <c r="A37" s="429"/>
      <c r="B37" s="500"/>
      <c r="C37" s="438" t="s">
        <v>612</v>
      </c>
      <c r="D37" s="501"/>
      <c r="E37" s="497"/>
      <c r="F37" s="497"/>
      <c r="G37" s="497"/>
      <c r="H37" s="497"/>
      <c r="I37" s="503"/>
    </row>
    <row r="38" spans="1:9" x14ac:dyDescent="0.2">
      <c r="A38" s="429"/>
      <c r="B38" s="439" t="s">
        <v>613</v>
      </c>
      <c r="C38" s="440" t="s">
        <v>614</v>
      </c>
      <c r="D38" s="441">
        <v>1028</v>
      </c>
      <c r="E38" s="442"/>
      <c r="F38" s="443"/>
      <c r="G38" s="444"/>
      <c r="H38" s="443"/>
      <c r="I38" s="454"/>
    </row>
    <row r="39" spans="1:9" x14ac:dyDescent="0.2">
      <c r="A39" s="429"/>
      <c r="B39" s="439">
        <v>662</v>
      </c>
      <c r="C39" s="440" t="s">
        <v>615</v>
      </c>
      <c r="D39" s="441">
        <v>1029</v>
      </c>
      <c r="E39" s="442">
        <v>5187</v>
      </c>
      <c r="F39" s="443">
        <v>5300</v>
      </c>
      <c r="G39" s="444">
        <v>5300</v>
      </c>
      <c r="H39" s="443">
        <v>3897</v>
      </c>
      <c r="I39" s="454">
        <f>H39/G39</f>
        <v>0.73528301886792458</v>
      </c>
    </row>
    <row r="40" spans="1:9" x14ac:dyDescent="0.2">
      <c r="A40" s="429"/>
      <c r="B40" s="439" t="s">
        <v>122</v>
      </c>
      <c r="C40" s="440" t="s">
        <v>616</v>
      </c>
      <c r="D40" s="441">
        <v>1030</v>
      </c>
      <c r="E40" s="442">
        <v>142</v>
      </c>
      <c r="F40" s="443"/>
      <c r="G40" s="444"/>
      <c r="H40" s="443">
        <v>19</v>
      </c>
      <c r="I40" s="454"/>
    </row>
    <row r="41" spans="1:9" x14ac:dyDescent="0.2">
      <c r="A41" s="429"/>
      <c r="B41" s="439" t="s">
        <v>617</v>
      </c>
      <c r="C41" s="440" t="s">
        <v>618</v>
      </c>
      <c r="D41" s="441">
        <v>1031</v>
      </c>
      <c r="E41" s="442">
        <v>7183</v>
      </c>
      <c r="F41" s="443">
        <v>7300</v>
      </c>
      <c r="G41" s="444">
        <v>7300</v>
      </c>
      <c r="H41" s="443">
        <v>4194</v>
      </c>
      <c r="I41" s="454">
        <f t="shared" ref="I41" si="6">H41/G41</f>
        <v>0.57452054794520546</v>
      </c>
    </row>
    <row r="42" spans="1:9" x14ac:dyDescent="0.2">
      <c r="A42" s="429"/>
      <c r="B42" s="500"/>
      <c r="C42" s="446" t="s">
        <v>619</v>
      </c>
      <c r="D42" s="501">
        <v>1032</v>
      </c>
      <c r="E42" s="496">
        <f t="shared" ref="E42:F42" si="7">SUM(E44:E47)</f>
        <v>8540</v>
      </c>
      <c r="F42" s="496">
        <f t="shared" si="7"/>
        <v>9000</v>
      </c>
      <c r="G42" s="496">
        <v>9000</v>
      </c>
      <c r="H42" s="496">
        <f t="shared" ref="H42" si="8">SUM(H44:H47)</f>
        <v>7213</v>
      </c>
      <c r="I42" s="498">
        <f t="shared" ref="I42" si="9">H42/G42</f>
        <v>0.8014444444444444</v>
      </c>
    </row>
    <row r="43" spans="1:9" x14ac:dyDescent="0.2">
      <c r="A43" s="429"/>
      <c r="B43" s="500"/>
      <c r="C43" s="438" t="s">
        <v>620</v>
      </c>
      <c r="D43" s="501"/>
      <c r="E43" s="497"/>
      <c r="F43" s="497"/>
      <c r="G43" s="497"/>
      <c r="H43" s="497"/>
      <c r="I43" s="499"/>
    </row>
    <row r="44" spans="1:9" x14ac:dyDescent="0.2">
      <c r="A44" s="429"/>
      <c r="B44" s="439" t="s">
        <v>621</v>
      </c>
      <c r="C44" s="440" t="s">
        <v>622</v>
      </c>
      <c r="D44" s="441">
        <v>1033</v>
      </c>
      <c r="E44" s="442"/>
      <c r="F44" s="443"/>
      <c r="G44" s="444"/>
      <c r="H44" s="443"/>
      <c r="I44" s="454"/>
    </row>
    <row r="45" spans="1:9" x14ac:dyDescent="0.2">
      <c r="A45" s="429"/>
      <c r="B45" s="439">
        <v>562</v>
      </c>
      <c r="C45" s="440" t="s">
        <v>623</v>
      </c>
      <c r="D45" s="441">
        <v>1034</v>
      </c>
      <c r="E45" s="442">
        <v>8510</v>
      </c>
      <c r="F45" s="443">
        <v>8500</v>
      </c>
      <c r="G45" s="444">
        <v>8500</v>
      </c>
      <c r="H45" s="443">
        <v>6907</v>
      </c>
      <c r="I45" s="454">
        <f t="shared" ref="I45:I52" si="10">H45/G45</f>
        <v>0.81258823529411761</v>
      </c>
    </row>
    <row r="46" spans="1:9" x14ac:dyDescent="0.2">
      <c r="A46" s="429"/>
      <c r="B46" s="439" t="s">
        <v>123</v>
      </c>
      <c r="C46" s="440" t="s">
        <v>624</v>
      </c>
      <c r="D46" s="441">
        <v>1035</v>
      </c>
      <c r="E46" s="442">
        <v>5</v>
      </c>
      <c r="F46" s="443"/>
      <c r="G46" s="444"/>
      <c r="H46" s="443">
        <v>306</v>
      </c>
      <c r="I46" s="454"/>
    </row>
    <row r="47" spans="1:9" x14ac:dyDescent="0.2">
      <c r="A47" s="429"/>
      <c r="B47" s="439" t="s">
        <v>625</v>
      </c>
      <c r="C47" s="440" t="s">
        <v>626</v>
      </c>
      <c r="D47" s="441">
        <v>1036</v>
      </c>
      <c r="E47" s="442">
        <v>25</v>
      </c>
      <c r="F47" s="443">
        <v>500</v>
      </c>
      <c r="G47" s="444">
        <v>500</v>
      </c>
      <c r="H47" s="443"/>
      <c r="I47" s="454">
        <f t="shared" si="10"/>
        <v>0</v>
      </c>
    </row>
    <row r="48" spans="1:9" x14ac:dyDescent="0.2">
      <c r="A48" s="429"/>
      <c r="B48" s="439"/>
      <c r="C48" s="445" t="s">
        <v>627</v>
      </c>
      <c r="D48" s="441">
        <v>1037</v>
      </c>
      <c r="E48" s="443">
        <f>E36-E42</f>
        <v>3972</v>
      </c>
      <c r="F48" s="443">
        <f t="shared" ref="F48:G48" si="11">F36-F42</f>
        <v>3600</v>
      </c>
      <c r="G48" s="443">
        <f t="shared" si="11"/>
        <v>3600</v>
      </c>
      <c r="H48" s="443">
        <f>H36-H42</f>
        <v>897</v>
      </c>
      <c r="I48" s="454"/>
    </row>
    <row r="49" spans="1:9" x14ac:dyDescent="0.2">
      <c r="A49" s="429"/>
      <c r="B49" s="439"/>
      <c r="C49" s="445" t="s">
        <v>628</v>
      </c>
      <c r="D49" s="441">
        <v>1038</v>
      </c>
      <c r="E49" s="443"/>
      <c r="F49" s="443"/>
      <c r="G49" s="444"/>
      <c r="H49" s="444"/>
      <c r="I49" s="454"/>
    </row>
    <row r="50" spans="1:9" x14ac:dyDescent="0.2">
      <c r="A50" s="429"/>
      <c r="B50" s="439" t="s">
        <v>629</v>
      </c>
      <c r="C50" s="445" t="s">
        <v>630</v>
      </c>
      <c r="D50" s="441">
        <v>1039</v>
      </c>
      <c r="E50" s="442">
        <v>68</v>
      </c>
      <c r="F50" s="443"/>
      <c r="G50" s="444"/>
      <c r="H50" s="443"/>
      <c r="I50" s="454"/>
    </row>
    <row r="51" spans="1:9" x14ac:dyDescent="0.2">
      <c r="A51" s="429"/>
      <c r="B51" s="439" t="s">
        <v>631</v>
      </c>
      <c r="C51" s="445" t="s">
        <v>632</v>
      </c>
      <c r="D51" s="441">
        <v>1040</v>
      </c>
      <c r="E51" s="442">
        <v>16404</v>
      </c>
      <c r="F51" s="443">
        <v>4000</v>
      </c>
      <c r="G51" s="444">
        <v>4000</v>
      </c>
      <c r="H51" s="443">
        <v>19865</v>
      </c>
      <c r="I51" s="454"/>
    </row>
    <row r="52" spans="1:9" x14ac:dyDescent="0.2">
      <c r="A52" s="429"/>
      <c r="B52" s="439">
        <v>67</v>
      </c>
      <c r="C52" s="445" t="s">
        <v>633</v>
      </c>
      <c r="D52" s="441">
        <v>1041</v>
      </c>
      <c r="E52" s="442">
        <v>4026</v>
      </c>
      <c r="F52" s="443">
        <v>8200</v>
      </c>
      <c r="G52" s="444">
        <v>8200</v>
      </c>
      <c r="H52" s="443">
        <v>6778</v>
      </c>
      <c r="I52" s="454">
        <f t="shared" si="10"/>
        <v>0.82658536585365849</v>
      </c>
    </row>
    <row r="53" spans="1:9" x14ac:dyDescent="0.2">
      <c r="A53" s="429"/>
      <c r="B53" s="439">
        <v>57</v>
      </c>
      <c r="C53" s="445" t="s">
        <v>634</v>
      </c>
      <c r="D53" s="441">
        <v>1042</v>
      </c>
      <c r="E53" s="442">
        <v>993</v>
      </c>
      <c r="F53" s="443">
        <v>7600</v>
      </c>
      <c r="G53" s="444">
        <v>7600</v>
      </c>
      <c r="H53" s="443">
        <v>774</v>
      </c>
      <c r="I53" s="454"/>
    </row>
    <row r="54" spans="1:9" x14ac:dyDescent="0.2">
      <c r="A54" s="429"/>
      <c r="B54" s="500"/>
      <c r="C54" s="446" t="s">
        <v>635</v>
      </c>
      <c r="D54" s="501">
        <v>1043</v>
      </c>
      <c r="E54" s="496">
        <f>E9+E36+E52+E50</f>
        <v>787729</v>
      </c>
      <c r="F54" s="496">
        <f t="shared" ref="F54:H54" si="12">F9+F36+F52</f>
        <v>938800</v>
      </c>
      <c r="G54" s="496">
        <f t="shared" si="12"/>
        <v>938800</v>
      </c>
      <c r="H54" s="496">
        <f t="shared" si="12"/>
        <v>780811</v>
      </c>
      <c r="I54" s="498">
        <f t="shared" ref="I54" si="13">H54/G54</f>
        <v>0.83171175969322542</v>
      </c>
    </row>
    <row r="55" spans="1:9" x14ac:dyDescent="0.2">
      <c r="A55" s="429"/>
      <c r="B55" s="500"/>
      <c r="C55" s="438" t="s">
        <v>636</v>
      </c>
      <c r="D55" s="501"/>
      <c r="E55" s="497"/>
      <c r="F55" s="497"/>
      <c r="G55" s="497"/>
      <c r="H55" s="497"/>
      <c r="I55" s="499"/>
    </row>
    <row r="56" spans="1:9" x14ac:dyDescent="0.2">
      <c r="A56" s="429"/>
      <c r="B56" s="500"/>
      <c r="C56" s="446" t="s">
        <v>637</v>
      </c>
      <c r="D56" s="501">
        <v>1044</v>
      </c>
      <c r="E56" s="496">
        <f>E22+E42+E53+E51</f>
        <v>765496</v>
      </c>
      <c r="F56" s="496">
        <f t="shared" ref="F56:H56" si="14">F22+F42+F53+F51</f>
        <v>936299</v>
      </c>
      <c r="G56" s="496">
        <f t="shared" si="14"/>
        <v>936299</v>
      </c>
      <c r="H56" s="496">
        <f t="shared" si="14"/>
        <v>774679</v>
      </c>
      <c r="I56" s="498">
        <f t="shared" ref="I56" si="15">H56/G56</f>
        <v>0.82738420098707788</v>
      </c>
    </row>
    <row r="57" spans="1:9" x14ac:dyDescent="0.2">
      <c r="A57" s="429"/>
      <c r="B57" s="500"/>
      <c r="C57" s="438" t="s">
        <v>638</v>
      </c>
      <c r="D57" s="501"/>
      <c r="E57" s="497"/>
      <c r="F57" s="497"/>
      <c r="G57" s="497"/>
      <c r="H57" s="497"/>
      <c r="I57" s="499"/>
    </row>
    <row r="58" spans="1:9" x14ac:dyDescent="0.2">
      <c r="A58" s="429"/>
      <c r="B58" s="439"/>
      <c r="C58" s="445" t="s">
        <v>639</v>
      </c>
      <c r="D58" s="441">
        <v>1045</v>
      </c>
      <c r="E58" s="443">
        <f t="shared" ref="E58:H58" si="16">E54-E56</f>
        <v>22233</v>
      </c>
      <c r="F58" s="443">
        <f t="shared" si="16"/>
        <v>2501</v>
      </c>
      <c r="G58" s="443">
        <f t="shared" si="16"/>
        <v>2501</v>
      </c>
      <c r="H58" s="443">
        <f t="shared" si="16"/>
        <v>6132</v>
      </c>
      <c r="I58" s="454">
        <f t="shared" ref="I58:I62" si="17">H58/G58</f>
        <v>2.4518192722910834</v>
      </c>
    </row>
    <row r="59" spans="1:9" x14ac:dyDescent="0.2">
      <c r="A59" s="429"/>
      <c r="B59" s="439"/>
      <c r="C59" s="445" t="s">
        <v>640</v>
      </c>
      <c r="D59" s="441">
        <v>1046</v>
      </c>
      <c r="E59" s="442"/>
      <c r="F59" s="443"/>
      <c r="G59" s="444"/>
      <c r="H59" s="443"/>
      <c r="I59" s="454"/>
    </row>
    <row r="60" spans="1:9" x14ac:dyDescent="0.2">
      <c r="A60" s="429"/>
      <c r="B60" s="439" t="s">
        <v>88</v>
      </c>
      <c r="C60" s="445" t="s">
        <v>641</v>
      </c>
      <c r="D60" s="441">
        <v>1047</v>
      </c>
      <c r="E60" s="442"/>
      <c r="F60" s="443"/>
      <c r="G60" s="444"/>
      <c r="H60" s="443"/>
      <c r="I60" s="454"/>
    </row>
    <row r="61" spans="1:9" x14ac:dyDescent="0.2">
      <c r="A61" s="429"/>
      <c r="B61" s="439" t="s">
        <v>642</v>
      </c>
      <c r="C61" s="445" t="s">
        <v>643</v>
      </c>
      <c r="D61" s="441">
        <v>1048</v>
      </c>
      <c r="E61" s="442">
        <v>0</v>
      </c>
      <c r="F61" s="443"/>
      <c r="G61" s="444"/>
      <c r="H61" s="443">
        <v>326</v>
      </c>
      <c r="I61" s="454"/>
    </row>
    <row r="62" spans="1:9" x14ac:dyDescent="0.2">
      <c r="A62" s="429"/>
      <c r="B62" s="500"/>
      <c r="C62" s="446" t="s">
        <v>644</v>
      </c>
      <c r="D62" s="501">
        <v>1049</v>
      </c>
      <c r="E62" s="496">
        <f>E54-E56-E61</f>
        <v>22233</v>
      </c>
      <c r="F62" s="496">
        <f t="shared" ref="F62:H62" si="18">F54-F56-F61</f>
        <v>2501</v>
      </c>
      <c r="G62" s="496">
        <f t="shared" si="18"/>
        <v>2501</v>
      </c>
      <c r="H62" s="496">
        <f t="shared" si="18"/>
        <v>5806</v>
      </c>
      <c r="I62" s="498">
        <f t="shared" si="17"/>
        <v>2.321471411435426</v>
      </c>
    </row>
    <row r="63" spans="1:9" x14ac:dyDescent="0.2">
      <c r="A63" s="429"/>
      <c r="B63" s="500"/>
      <c r="C63" s="438" t="s">
        <v>665</v>
      </c>
      <c r="D63" s="501"/>
      <c r="E63" s="497"/>
      <c r="F63" s="497"/>
      <c r="G63" s="497"/>
      <c r="H63" s="497"/>
      <c r="I63" s="499"/>
    </row>
    <row r="64" spans="1:9" x14ac:dyDescent="0.2">
      <c r="A64" s="429"/>
      <c r="B64" s="490"/>
      <c r="C64" s="446" t="s">
        <v>645</v>
      </c>
      <c r="D64" s="492">
        <v>1050</v>
      </c>
      <c r="E64" s="494"/>
      <c r="F64" s="496"/>
      <c r="G64" s="494"/>
      <c r="H64" s="496"/>
      <c r="I64" s="455"/>
    </row>
    <row r="65" spans="1:9" x14ac:dyDescent="0.2">
      <c r="A65" s="429"/>
      <c r="B65" s="491"/>
      <c r="C65" s="438" t="s">
        <v>646</v>
      </c>
      <c r="D65" s="493"/>
      <c r="E65" s="495"/>
      <c r="F65" s="497"/>
      <c r="G65" s="495"/>
      <c r="H65" s="497"/>
      <c r="I65" s="456"/>
    </row>
    <row r="66" spans="1:9" x14ac:dyDescent="0.2">
      <c r="A66" s="429"/>
      <c r="B66" s="439"/>
      <c r="C66" s="445" t="s">
        <v>647</v>
      </c>
      <c r="D66" s="441"/>
      <c r="E66" s="442"/>
      <c r="F66" s="443"/>
      <c r="G66" s="444"/>
      <c r="H66" s="443"/>
      <c r="I66" s="454"/>
    </row>
    <row r="67" spans="1:9" x14ac:dyDescent="0.2">
      <c r="A67" s="429"/>
      <c r="B67" s="439">
        <v>721</v>
      </c>
      <c r="C67" s="440" t="s">
        <v>648</v>
      </c>
      <c r="D67" s="441">
        <v>1051</v>
      </c>
      <c r="E67" s="442">
        <v>4677</v>
      </c>
      <c r="F67" s="443">
        <f t="shared" ref="F67" si="19">F62*0.15</f>
        <v>375.15</v>
      </c>
      <c r="G67" s="444">
        <v>375</v>
      </c>
      <c r="H67" s="443">
        <v>871</v>
      </c>
      <c r="I67" s="454">
        <f t="shared" ref="I67" si="20">H67/G67</f>
        <v>2.3226666666666667</v>
      </c>
    </row>
    <row r="68" spans="1:9" x14ac:dyDescent="0.2">
      <c r="A68" s="429"/>
      <c r="B68" s="439" t="s">
        <v>649</v>
      </c>
      <c r="C68" s="440" t="s">
        <v>650</v>
      </c>
      <c r="D68" s="441">
        <v>1052</v>
      </c>
      <c r="E68" s="442"/>
      <c r="F68" s="443"/>
      <c r="G68" s="444"/>
      <c r="H68" s="443"/>
      <c r="I68" s="454"/>
    </row>
    <row r="69" spans="1:9" x14ac:dyDescent="0.2">
      <c r="A69" s="429"/>
      <c r="B69" s="439" t="s">
        <v>651</v>
      </c>
      <c r="C69" s="440" t="s">
        <v>652</v>
      </c>
      <c r="D69" s="441">
        <v>1053</v>
      </c>
      <c r="E69" s="442">
        <v>1248</v>
      </c>
      <c r="F69" s="443"/>
      <c r="G69" s="444"/>
      <c r="H69" s="443"/>
      <c r="I69" s="454"/>
    </row>
    <row r="70" spans="1:9" x14ac:dyDescent="0.2">
      <c r="A70" s="429"/>
      <c r="B70" s="439">
        <v>723</v>
      </c>
      <c r="C70" s="445" t="s">
        <v>653</v>
      </c>
      <c r="D70" s="441">
        <v>1054</v>
      </c>
      <c r="E70" s="442"/>
      <c r="F70" s="443"/>
      <c r="G70" s="444"/>
      <c r="H70" s="443"/>
      <c r="I70" s="454"/>
    </row>
    <row r="71" spans="1:9" x14ac:dyDescent="0.2">
      <c r="A71" s="429"/>
      <c r="B71" s="490"/>
      <c r="C71" s="446" t="s">
        <v>654</v>
      </c>
      <c r="D71" s="492">
        <v>1055</v>
      </c>
      <c r="E71" s="496">
        <f>E62-E67+E69</f>
        <v>18804</v>
      </c>
      <c r="F71" s="496">
        <f t="shared" ref="F71:H71" si="21">F62-F67+F69</f>
        <v>2125.85</v>
      </c>
      <c r="G71" s="496">
        <f t="shared" si="21"/>
        <v>2126</v>
      </c>
      <c r="H71" s="496">
        <f t="shared" si="21"/>
        <v>4935</v>
      </c>
      <c r="I71" s="498">
        <f t="shared" ref="I71" si="22">H71/G71</f>
        <v>2.3212605832549387</v>
      </c>
    </row>
    <row r="72" spans="1:9" x14ac:dyDescent="0.2">
      <c r="A72" s="429"/>
      <c r="B72" s="491"/>
      <c r="C72" s="438" t="s">
        <v>655</v>
      </c>
      <c r="D72" s="493"/>
      <c r="E72" s="497"/>
      <c r="F72" s="497"/>
      <c r="G72" s="497"/>
      <c r="H72" s="497"/>
      <c r="I72" s="499"/>
    </row>
    <row r="73" spans="1:9" x14ac:dyDescent="0.2">
      <c r="A73" s="429"/>
      <c r="B73" s="490"/>
      <c r="C73" s="446" t="s">
        <v>656</v>
      </c>
      <c r="D73" s="492">
        <v>1056</v>
      </c>
      <c r="E73" s="494"/>
      <c r="F73" s="496"/>
      <c r="G73" s="494"/>
      <c r="H73" s="496"/>
      <c r="I73" s="498"/>
    </row>
    <row r="74" spans="1:9" x14ac:dyDescent="0.2">
      <c r="A74" s="429"/>
      <c r="B74" s="491"/>
      <c r="C74" s="438" t="s">
        <v>657</v>
      </c>
      <c r="D74" s="493"/>
      <c r="E74" s="495"/>
      <c r="F74" s="497"/>
      <c r="G74" s="495"/>
      <c r="H74" s="497"/>
      <c r="I74" s="499"/>
    </row>
    <row r="75" spans="1:9" x14ac:dyDescent="0.2">
      <c r="A75" s="429"/>
      <c r="B75" s="439"/>
      <c r="C75" s="440" t="s">
        <v>658</v>
      </c>
      <c r="D75" s="441">
        <v>1057</v>
      </c>
      <c r="E75" s="442"/>
      <c r="F75" s="443"/>
      <c r="G75" s="444"/>
      <c r="H75" s="443"/>
      <c r="I75" s="454"/>
    </row>
    <row r="76" spans="1:9" x14ac:dyDescent="0.2">
      <c r="A76" s="429"/>
      <c r="B76" s="439"/>
      <c r="C76" s="440" t="s">
        <v>659</v>
      </c>
      <c r="D76" s="441">
        <v>1058</v>
      </c>
      <c r="E76" s="442"/>
      <c r="F76" s="443"/>
      <c r="G76" s="444"/>
      <c r="H76" s="443"/>
      <c r="I76" s="454"/>
    </row>
    <row r="77" spans="1:9" x14ac:dyDescent="0.2">
      <c r="A77" s="429"/>
      <c r="B77" s="439"/>
      <c r="C77" s="440" t="s">
        <v>660</v>
      </c>
      <c r="D77" s="441">
        <v>1059</v>
      </c>
      <c r="E77" s="442"/>
      <c r="F77" s="443"/>
      <c r="G77" s="444"/>
      <c r="H77" s="443"/>
      <c r="I77" s="454"/>
    </row>
    <row r="78" spans="1:9" x14ac:dyDescent="0.2">
      <c r="A78" s="429"/>
      <c r="B78" s="439"/>
      <c r="C78" s="440" t="s">
        <v>661</v>
      </c>
      <c r="D78" s="441">
        <v>1060</v>
      </c>
      <c r="E78" s="442"/>
      <c r="F78" s="443"/>
      <c r="G78" s="444"/>
      <c r="H78" s="443"/>
      <c r="I78" s="454"/>
    </row>
    <row r="79" spans="1:9" x14ac:dyDescent="0.2">
      <c r="A79" s="429"/>
      <c r="B79" s="439"/>
      <c r="C79" s="440" t="s">
        <v>662</v>
      </c>
      <c r="D79" s="441"/>
      <c r="E79" s="442"/>
      <c r="F79" s="443"/>
      <c r="G79" s="444"/>
      <c r="H79" s="443"/>
      <c r="I79" s="454"/>
    </row>
    <row r="80" spans="1:9" x14ac:dyDescent="0.2">
      <c r="A80" s="429"/>
      <c r="B80" s="439"/>
      <c r="C80" s="440" t="s">
        <v>663</v>
      </c>
      <c r="D80" s="441">
        <v>1061</v>
      </c>
      <c r="E80" s="442"/>
      <c r="F80" s="443"/>
      <c r="G80" s="444"/>
      <c r="H80" s="443"/>
      <c r="I80" s="454"/>
    </row>
    <row r="81" spans="1:9" ht="16.5" thickBot="1" x14ac:dyDescent="0.25">
      <c r="A81" s="429"/>
      <c r="B81" s="447"/>
      <c r="C81" s="448" t="s">
        <v>664</v>
      </c>
      <c r="D81" s="449">
        <v>1062</v>
      </c>
      <c r="E81" s="450"/>
      <c r="F81" s="451"/>
      <c r="G81" s="452"/>
      <c r="H81" s="451"/>
      <c r="I81" s="457"/>
    </row>
    <row r="82" spans="1:9" x14ac:dyDescent="0.2">
      <c r="B82" s="453"/>
      <c r="I82" s="422"/>
    </row>
    <row r="83" spans="1:9" x14ac:dyDescent="0.2">
      <c r="B83" s="426" t="s">
        <v>572</v>
      </c>
      <c r="I83" s="422"/>
    </row>
    <row r="84" spans="1:9" x14ac:dyDescent="0.2">
      <c r="I84" s="422"/>
    </row>
    <row r="85" spans="1:9" x14ac:dyDescent="0.2">
      <c r="I85" s="422"/>
    </row>
    <row r="86" spans="1:9" x14ac:dyDescent="0.2">
      <c r="I86" s="422"/>
    </row>
    <row r="87" spans="1:9" x14ac:dyDescent="0.2">
      <c r="I87" s="422"/>
    </row>
    <row r="88" spans="1:9" x14ac:dyDescent="0.2">
      <c r="I88" s="422"/>
    </row>
    <row r="89" spans="1:9" x14ac:dyDescent="0.2">
      <c r="I89" s="422"/>
    </row>
    <row r="90" spans="1:9" x14ac:dyDescent="0.2">
      <c r="I90" s="422"/>
    </row>
    <row r="91" spans="1:9" x14ac:dyDescent="0.2">
      <c r="I91" s="422"/>
    </row>
    <row r="92" spans="1:9" x14ac:dyDescent="0.2">
      <c r="I92" s="422"/>
    </row>
    <row r="93" spans="1:9" x14ac:dyDescent="0.2">
      <c r="I93" s="422"/>
    </row>
    <row r="94" spans="1:9" x14ac:dyDescent="0.2">
      <c r="I94" s="422"/>
    </row>
    <row r="95" spans="1:9" x14ac:dyDescent="0.2">
      <c r="I95" s="422"/>
    </row>
    <row r="96" spans="1:9" x14ac:dyDescent="0.2">
      <c r="I96" s="422"/>
    </row>
    <row r="97" s="422" customFormat="1" x14ac:dyDescent="0.2"/>
    <row r="98" s="422" customFormat="1" x14ac:dyDescent="0.2"/>
    <row r="99" s="422" customFormat="1" x14ac:dyDescent="0.2"/>
    <row r="100" s="422" customFormat="1" x14ac:dyDescent="0.2"/>
    <row r="101" s="422" customFormat="1" x14ac:dyDescent="0.2"/>
    <row r="102" s="422" customFormat="1" x14ac:dyDescent="0.2"/>
    <row r="103" s="422" customFormat="1" x14ac:dyDescent="0.2"/>
    <row r="104" s="422" customFormat="1" x14ac:dyDescent="0.2"/>
    <row r="105" s="422" customFormat="1" x14ac:dyDescent="0.2"/>
    <row r="106" s="422" customFormat="1" x14ac:dyDescent="0.2"/>
    <row r="107" s="422" customFormat="1" x14ac:dyDescent="0.2"/>
    <row r="108" s="422" customFormat="1" x14ac:dyDescent="0.2"/>
    <row r="109" s="422" customFormat="1" x14ac:dyDescent="0.2"/>
    <row r="110" s="422" customFormat="1" x14ac:dyDescent="0.2"/>
    <row r="111" s="422" customFormat="1" x14ac:dyDescent="0.2"/>
    <row r="112" s="422" customFormat="1" x14ac:dyDescent="0.2"/>
    <row r="113" s="422" customFormat="1" x14ac:dyDescent="0.2"/>
    <row r="114" s="422" customFormat="1" x14ac:dyDescent="0.2"/>
    <row r="115" s="422" customFormat="1" x14ac:dyDescent="0.2"/>
    <row r="116" s="422" customFormat="1" x14ac:dyDescent="0.2"/>
    <row r="117" s="422" customFormat="1" x14ac:dyDescent="0.2"/>
    <row r="118" s="422" customFormat="1" x14ac:dyDescent="0.2"/>
    <row r="119" s="422" customFormat="1" x14ac:dyDescent="0.2"/>
    <row r="120" s="422" customFormat="1" x14ac:dyDescent="0.2"/>
    <row r="121" s="422" customFormat="1" x14ac:dyDescent="0.2"/>
    <row r="122" s="422" customFormat="1" x14ac:dyDescent="0.2"/>
    <row r="123" s="422" customFormat="1" x14ac:dyDescent="0.2"/>
    <row r="124" s="422" customFormat="1" x14ac:dyDescent="0.2"/>
    <row r="125" s="422" customFormat="1" x14ac:dyDescent="0.2"/>
    <row r="126" s="422" customFormat="1" x14ac:dyDescent="0.2"/>
    <row r="127" s="422" customFormat="1" x14ac:dyDescent="0.2"/>
    <row r="128" s="422" customFormat="1" x14ac:dyDescent="0.2"/>
    <row r="129" s="422" customFormat="1" x14ac:dyDescent="0.2"/>
    <row r="130" s="422" customFormat="1" x14ac:dyDescent="0.2"/>
    <row r="131" s="422" customFormat="1" x14ac:dyDescent="0.2"/>
    <row r="132" s="422" customFormat="1" x14ac:dyDescent="0.2"/>
    <row r="133" s="422" customFormat="1" x14ac:dyDescent="0.2"/>
    <row r="134" s="422" customFormat="1" x14ac:dyDescent="0.2"/>
    <row r="135" s="422" customFormat="1" x14ac:dyDescent="0.2"/>
    <row r="136" s="422" customFormat="1" x14ac:dyDescent="0.2"/>
    <row r="137" s="422" customFormat="1" x14ac:dyDescent="0.2"/>
    <row r="138" s="422" customFormat="1" x14ac:dyDescent="0.2"/>
    <row r="139" s="422" customFormat="1" x14ac:dyDescent="0.2"/>
    <row r="140" s="422" customFormat="1" x14ac:dyDescent="0.2"/>
    <row r="141" s="422" customFormat="1" x14ac:dyDescent="0.2"/>
    <row r="142" s="422" customFormat="1" x14ac:dyDescent="0.2"/>
    <row r="143" s="422" customFormat="1" x14ac:dyDescent="0.2"/>
    <row r="144" s="422" customFormat="1" x14ac:dyDescent="0.2"/>
    <row r="145" s="422" customFormat="1" x14ac:dyDescent="0.2"/>
    <row r="146" s="422" customFormat="1" x14ac:dyDescent="0.2"/>
    <row r="147" s="422" customFormat="1" x14ac:dyDescent="0.2"/>
    <row r="148" s="422" customFormat="1" x14ac:dyDescent="0.2"/>
  </sheetData>
  <mergeCells count="71">
    <mergeCell ref="I71:I72"/>
    <mergeCell ref="I73:I74"/>
    <mergeCell ref="B2:I2"/>
    <mergeCell ref="B3:I3"/>
    <mergeCell ref="B6:B7"/>
    <mergeCell ref="C6:C7"/>
    <mergeCell ref="D6:D7"/>
    <mergeCell ref="E6:E7"/>
    <mergeCell ref="F6:F7"/>
    <mergeCell ref="G6:H6"/>
    <mergeCell ref="I6:I7"/>
    <mergeCell ref="I9:I10"/>
    <mergeCell ref="B36:B37"/>
    <mergeCell ref="D36:D37"/>
    <mergeCell ref="E36:E37"/>
    <mergeCell ref="F36:F37"/>
    <mergeCell ref="G36:G37"/>
    <mergeCell ref="H36:H37"/>
    <mergeCell ref="I36:I37"/>
    <mergeCell ref="B9:B10"/>
    <mergeCell ref="D9:D10"/>
    <mergeCell ref="E9:E10"/>
    <mergeCell ref="F9:F10"/>
    <mergeCell ref="G9:G10"/>
    <mergeCell ref="H9:H10"/>
    <mergeCell ref="B64:B65"/>
    <mergeCell ref="I42:I43"/>
    <mergeCell ref="B54:B55"/>
    <mergeCell ref="D54:D55"/>
    <mergeCell ref="E54:E55"/>
    <mergeCell ref="F54:F55"/>
    <mergeCell ref="G54:G55"/>
    <mergeCell ref="H54:H55"/>
    <mergeCell ref="I54:I55"/>
    <mergeCell ref="B42:B43"/>
    <mergeCell ref="D42:D43"/>
    <mergeCell ref="E42:E43"/>
    <mergeCell ref="F42:F43"/>
    <mergeCell ref="G42:G43"/>
    <mergeCell ref="H42:H43"/>
    <mergeCell ref="I56:I57"/>
    <mergeCell ref="H62:H63"/>
    <mergeCell ref="I62:I63"/>
    <mergeCell ref="B56:B57"/>
    <mergeCell ref="D56:D57"/>
    <mergeCell ref="E56:E57"/>
    <mergeCell ref="F56:F57"/>
    <mergeCell ref="G56:G57"/>
    <mergeCell ref="H56:H57"/>
    <mergeCell ref="B62:B63"/>
    <mergeCell ref="D62:D63"/>
    <mergeCell ref="E62:E63"/>
    <mergeCell ref="F62:F63"/>
    <mergeCell ref="G62:G63"/>
    <mergeCell ref="D64:D65"/>
    <mergeCell ref="E64:E65"/>
    <mergeCell ref="F64:F65"/>
    <mergeCell ref="G64:G65"/>
    <mergeCell ref="H73:H74"/>
    <mergeCell ref="H71:H72"/>
    <mergeCell ref="H64:H65"/>
    <mergeCell ref="B71:B72"/>
    <mergeCell ref="D71:D72"/>
    <mergeCell ref="E71:E72"/>
    <mergeCell ref="F71:F72"/>
    <mergeCell ref="G71:G72"/>
    <mergeCell ref="B73:B74"/>
    <mergeCell ref="D73:D74"/>
    <mergeCell ref="E73:E74"/>
    <mergeCell ref="F73:F74"/>
    <mergeCell ref="G73:G74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37"/>
  <sheetViews>
    <sheetView showGridLines="0" tabSelected="1" view="pageBreakPreview" zoomScale="60" zoomScaleNormal="75" workbookViewId="0">
      <selection activeCell="G22" sqref="G22"/>
    </sheetView>
  </sheetViews>
  <sheetFormatPr defaultRowHeight="15.75" x14ac:dyDescent="0.25"/>
  <cols>
    <col min="1" max="1" width="1.5703125" style="3" customWidth="1"/>
    <col min="2" max="2" width="31.7109375" style="3" customWidth="1"/>
    <col min="3" max="3" width="28.28515625" style="3" bestFit="1" customWidth="1"/>
    <col min="4" max="4" width="12.85546875" style="3" customWidth="1"/>
    <col min="5" max="5" width="16.7109375" style="3" customWidth="1"/>
    <col min="6" max="6" width="19.42578125" style="3" customWidth="1"/>
    <col min="7" max="8" width="27.28515625" style="3" customWidth="1"/>
    <col min="9" max="9" width="13.7109375" style="3" customWidth="1"/>
    <col min="10" max="10" width="16.28515625" style="3" customWidth="1"/>
    <col min="11" max="11" width="14" style="3" customWidth="1"/>
    <col min="12" max="12" width="14.85546875" style="3" customWidth="1"/>
    <col min="13" max="14" width="13.85546875" style="3" customWidth="1"/>
    <col min="15" max="15" width="13.7109375" style="3" customWidth="1"/>
    <col min="16" max="16" width="13.42578125" style="3" customWidth="1"/>
    <col min="17" max="17" width="13.7109375" style="3" customWidth="1"/>
    <col min="18" max="18" width="13.28515625" style="3" customWidth="1"/>
    <col min="19" max="22" width="12.28515625" style="3" customWidth="1"/>
    <col min="23" max="16384" width="9.140625" style="3"/>
  </cols>
  <sheetData>
    <row r="2" spans="1:22" ht="18.75" x14ac:dyDescent="0.3">
      <c r="D2" s="3">
        <v>117.282</v>
      </c>
      <c r="V2" s="18" t="s">
        <v>201</v>
      </c>
    </row>
    <row r="3" spans="1:22" x14ac:dyDescent="0.25">
      <c r="A3" s="2"/>
    </row>
    <row r="4" spans="1:22" ht="20.25" x14ac:dyDescent="0.3">
      <c r="A4" s="2"/>
      <c r="B4" s="699" t="s">
        <v>48</v>
      </c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</row>
    <row r="5" spans="1:22" ht="16.5" thickBot="1" x14ac:dyDescent="0.3">
      <c r="B5" s="3" t="s">
        <v>783</v>
      </c>
      <c r="D5" s="4"/>
      <c r="E5" s="4"/>
      <c r="F5" s="4"/>
      <c r="G5" s="4"/>
      <c r="H5" s="4"/>
      <c r="J5" s="4"/>
      <c r="K5" s="4"/>
      <c r="L5" s="4"/>
      <c r="M5" s="4"/>
      <c r="N5" s="4"/>
    </row>
    <row r="6" spans="1:22" ht="38.25" customHeight="1" x14ac:dyDescent="0.25">
      <c r="B6" s="700" t="s">
        <v>19</v>
      </c>
      <c r="C6" s="702" t="s">
        <v>20</v>
      </c>
      <c r="D6" s="704" t="s">
        <v>21</v>
      </c>
      <c r="E6" s="697" t="s">
        <v>197</v>
      </c>
      <c r="F6" s="697" t="s">
        <v>208</v>
      </c>
      <c r="G6" s="697" t="s">
        <v>781</v>
      </c>
      <c r="H6" s="697" t="s">
        <v>782</v>
      </c>
      <c r="I6" s="697" t="s">
        <v>230</v>
      </c>
      <c r="J6" s="697" t="s">
        <v>22</v>
      </c>
      <c r="K6" s="697" t="s">
        <v>231</v>
      </c>
      <c r="L6" s="697" t="s">
        <v>23</v>
      </c>
      <c r="M6" s="697" t="s">
        <v>24</v>
      </c>
      <c r="N6" s="697" t="s">
        <v>25</v>
      </c>
      <c r="O6" s="706" t="s">
        <v>49</v>
      </c>
      <c r="P6" s="707"/>
      <c r="Q6" s="707"/>
      <c r="R6" s="707"/>
      <c r="S6" s="707"/>
      <c r="T6" s="707"/>
      <c r="U6" s="707"/>
      <c r="V6" s="708"/>
    </row>
    <row r="7" spans="1:22" ht="48.75" customHeight="1" thickBot="1" x14ac:dyDescent="0.3">
      <c r="B7" s="701"/>
      <c r="C7" s="703"/>
      <c r="D7" s="705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35" t="s">
        <v>26</v>
      </c>
      <c r="P7" s="35" t="s">
        <v>27</v>
      </c>
      <c r="Q7" s="35" t="s">
        <v>28</v>
      </c>
      <c r="R7" s="35" t="s">
        <v>29</v>
      </c>
      <c r="S7" s="35" t="s">
        <v>30</v>
      </c>
      <c r="T7" s="35" t="s">
        <v>31</v>
      </c>
      <c r="U7" s="35" t="s">
        <v>32</v>
      </c>
      <c r="V7" s="36" t="s">
        <v>33</v>
      </c>
    </row>
    <row r="8" spans="1:22" ht="24.95" customHeight="1" x14ac:dyDescent="0.25">
      <c r="B8" s="10" t="s">
        <v>715</v>
      </c>
      <c r="C8" s="11" t="s">
        <v>726</v>
      </c>
      <c r="D8" s="5" t="s">
        <v>727</v>
      </c>
      <c r="E8" s="464">
        <v>88844.22</v>
      </c>
      <c r="F8" s="5" t="s">
        <v>728</v>
      </c>
      <c r="G8" s="467">
        <v>0</v>
      </c>
      <c r="H8" s="37">
        <f>G8*$D$2</f>
        <v>0</v>
      </c>
      <c r="I8" s="5">
        <v>2020</v>
      </c>
      <c r="J8" s="362">
        <v>45874</v>
      </c>
      <c r="K8" s="5"/>
      <c r="L8" s="362">
        <v>44079</v>
      </c>
      <c r="M8" s="5">
        <v>3.9600000000000003E-2</v>
      </c>
      <c r="N8" s="5">
        <v>12</v>
      </c>
      <c r="O8" s="37">
        <v>520985</v>
      </c>
      <c r="P8" s="37">
        <v>520668</v>
      </c>
      <c r="Q8" s="37">
        <v>520668</v>
      </c>
      <c r="R8" s="37"/>
      <c r="S8" s="37">
        <f>95.08*D2</f>
        <v>11151.172559999999</v>
      </c>
      <c r="T8" s="37">
        <f>57.17*D2</f>
        <v>6705.0119400000003</v>
      </c>
      <c r="U8" s="37">
        <f>14.32*D2</f>
        <v>1679.4782399999999</v>
      </c>
      <c r="V8" s="5">
        <v>0</v>
      </c>
    </row>
    <row r="9" spans="1:22" ht="24.95" customHeight="1" x14ac:dyDescent="0.25">
      <c r="B9" s="12" t="s">
        <v>715</v>
      </c>
      <c r="C9" s="5" t="s">
        <v>729</v>
      </c>
      <c r="D9" s="5" t="s">
        <v>730</v>
      </c>
      <c r="E9" s="464">
        <v>101256.28</v>
      </c>
      <c r="F9" s="5" t="s">
        <v>728</v>
      </c>
      <c r="G9" s="465">
        <v>0</v>
      </c>
      <c r="H9" s="37">
        <f t="shared" ref="H9:H23" si="0">G9*$D$2</f>
        <v>0</v>
      </c>
      <c r="I9" s="5">
        <v>2020</v>
      </c>
      <c r="J9" s="362">
        <v>45915</v>
      </c>
      <c r="K9" s="5"/>
      <c r="L9" s="32">
        <v>44119</v>
      </c>
      <c r="M9" s="5">
        <v>3.95E-2</v>
      </c>
      <c r="N9" s="5">
        <v>12</v>
      </c>
      <c r="O9" s="37">
        <v>593775</v>
      </c>
      <c r="P9" s="37">
        <v>593414</v>
      </c>
      <c r="Q9" s="37">
        <v>593414</v>
      </c>
      <c r="R9" s="37"/>
      <c r="S9" s="37">
        <f>128.05*D2</f>
        <v>15017.9601</v>
      </c>
      <c r="T9" s="37">
        <f>85.7*D2</f>
        <v>10051.0674</v>
      </c>
      <c r="U9" s="37">
        <f>37.6*D2</f>
        <v>4409.8032000000003</v>
      </c>
      <c r="V9" s="5">
        <v>0</v>
      </c>
    </row>
    <row r="10" spans="1:22" ht="24.95" customHeight="1" x14ac:dyDescent="0.25">
      <c r="B10" s="12" t="s">
        <v>715</v>
      </c>
      <c r="C10" s="5" t="s">
        <v>726</v>
      </c>
      <c r="D10" s="5" t="s">
        <v>730</v>
      </c>
      <c r="E10" s="464">
        <v>64899.5</v>
      </c>
      <c r="F10" s="5" t="s">
        <v>728</v>
      </c>
      <c r="G10" s="465">
        <v>0</v>
      </c>
      <c r="H10" s="37">
        <f t="shared" si="0"/>
        <v>0</v>
      </c>
      <c r="I10" s="5">
        <v>2020</v>
      </c>
      <c r="J10" s="362">
        <v>45915</v>
      </c>
      <c r="K10" s="5"/>
      <c r="L10" s="32">
        <v>44119</v>
      </c>
      <c r="M10" s="5">
        <v>3.9399999999999998E-2</v>
      </c>
      <c r="N10" s="5">
        <v>12</v>
      </c>
      <c r="O10" s="37">
        <v>380578</v>
      </c>
      <c r="P10" s="37">
        <v>380346</v>
      </c>
      <c r="Q10" s="37">
        <v>380346</v>
      </c>
      <c r="R10" s="37"/>
      <c r="S10" s="37">
        <f>82.07*D2</f>
        <v>9625.3337399999982</v>
      </c>
      <c r="T10" s="37">
        <f>54.92*D2</f>
        <v>6441.1274400000002</v>
      </c>
      <c r="U10" s="37">
        <f>24.09*D2</f>
        <v>2825.3233799999998</v>
      </c>
      <c r="V10" s="5">
        <v>0</v>
      </c>
    </row>
    <row r="11" spans="1:22" ht="24.95" customHeight="1" x14ac:dyDescent="0.25">
      <c r="B11" s="12" t="s">
        <v>715</v>
      </c>
      <c r="C11" s="5" t="s">
        <v>726</v>
      </c>
      <c r="D11" s="5" t="s">
        <v>730</v>
      </c>
      <c r="E11" s="464">
        <v>100851</v>
      </c>
      <c r="F11" s="5" t="s">
        <v>728</v>
      </c>
      <c r="G11" s="465">
        <v>6723.1</v>
      </c>
      <c r="H11" s="37">
        <f t="shared" si="0"/>
        <v>788498.61420000007</v>
      </c>
      <c r="I11" s="5">
        <v>2021</v>
      </c>
      <c r="J11" s="362">
        <v>46127</v>
      </c>
      <c r="K11" s="5"/>
      <c r="L11" s="32">
        <v>44331</v>
      </c>
      <c r="M11" s="5">
        <v>3.6400000000000002E-2</v>
      </c>
      <c r="N11" s="5">
        <v>12</v>
      </c>
      <c r="O11" s="37">
        <v>591400</v>
      </c>
      <c r="P11" s="37">
        <v>591040</v>
      </c>
      <c r="Q11" s="37">
        <v>591040</v>
      </c>
      <c r="R11" s="37">
        <v>591040</v>
      </c>
      <c r="S11" s="37">
        <f>213.75*D2</f>
        <v>25069.0275</v>
      </c>
      <c r="T11" s="37">
        <f>179.34*D2</f>
        <v>21033.353879999999</v>
      </c>
      <c r="U11" s="37">
        <f>133.15*D2</f>
        <v>15616.0983</v>
      </c>
      <c r="V11" s="37">
        <f>91.14*D2</f>
        <v>10689.081479999999</v>
      </c>
    </row>
    <row r="12" spans="1:22" ht="24.95" customHeight="1" x14ac:dyDescent="0.25">
      <c r="B12" s="12" t="s">
        <v>716</v>
      </c>
      <c r="C12" s="5" t="s">
        <v>726</v>
      </c>
      <c r="D12" s="5" t="s">
        <v>730</v>
      </c>
      <c r="E12" s="464">
        <v>67100</v>
      </c>
      <c r="F12" s="5" t="s">
        <v>728</v>
      </c>
      <c r="G12" s="465">
        <v>4473.08</v>
      </c>
      <c r="H12" s="37">
        <f t="shared" si="0"/>
        <v>524611.76856</v>
      </c>
      <c r="I12" s="5">
        <v>2021</v>
      </c>
      <c r="J12" s="362">
        <v>46127</v>
      </c>
      <c r="K12" s="5"/>
      <c r="L12" s="32">
        <v>44331</v>
      </c>
      <c r="M12" s="5">
        <v>3.6400000000000002E-2</v>
      </c>
      <c r="N12" s="5">
        <v>12</v>
      </c>
      <c r="O12" s="37">
        <v>393476</v>
      </c>
      <c r="P12" s="37">
        <v>393237</v>
      </c>
      <c r="Q12" s="37">
        <v>393237</v>
      </c>
      <c r="R12" s="37">
        <v>393237</v>
      </c>
      <c r="S12" s="37">
        <f>142.22*D2</f>
        <v>16679.84604</v>
      </c>
      <c r="T12" s="37">
        <f>119.33*D2</f>
        <v>13995.261059999999</v>
      </c>
      <c r="U12" s="37">
        <f>88.59*D2</f>
        <v>10390.01238</v>
      </c>
      <c r="V12" s="37">
        <f>60.64*D2</f>
        <v>7111.9804800000002</v>
      </c>
    </row>
    <row r="13" spans="1:22" ht="24.95" customHeight="1" x14ac:dyDescent="0.25">
      <c r="B13" s="12" t="s">
        <v>715</v>
      </c>
      <c r="C13" s="5" t="s">
        <v>726</v>
      </c>
      <c r="D13" s="5" t="s">
        <v>730</v>
      </c>
      <c r="E13" s="464">
        <v>87050.3</v>
      </c>
      <c r="F13" s="5" t="s">
        <v>728</v>
      </c>
      <c r="G13" s="465">
        <v>11606.62</v>
      </c>
      <c r="H13" s="37">
        <f t="shared" si="0"/>
        <v>1361247.60684</v>
      </c>
      <c r="I13" s="5">
        <v>2021</v>
      </c>
      <c r="J13" s="362">
        <v>46256</v>
      </c>
      <c r="K13" s="5"/>
      <c r="L13" s="32">
        <v>44462</v>
      </c>
      <c r="M13" s="5">
        <v>3.6299999999999999E-2</v>
      </c>
      <c r="N13" s="5">
        <v>12</v>
      </c>
      <c r="O13" s="37">
        <v>510472</v>
      </c>
      <c r="P13" s="37">
        <v>510161</v>
      </c>
      <c r="Q13" s="37">
        <v>510161</v>
      </c>
      <c r="R13" s="37">
        <v>510161</v>
      </c>
      <c r="S13" s="37">
        <f>235.07*D2</f>
        <v>27569.479739999999</v>
      </c>
      <c r="T13" s="37">
        <f>207.67*D2</f>
        <v>24355.952939999999</v>
      </c>
      <c r="U13" s="37">
        <f>166.66*D2</f>
        <v>19546.218119999998</v>
      </c>
      <c r="V13" s="37">
        <f>130.57*D2</f>
        <v>15313.510739999998</v>
      </c>
    </row>
    <row r="14" spans="1:22" ht="24.95" customHeight="1" x14ac:dyDescent="0.25">
      <c r="B14" s="12" t="s">
        <v>715</v>
      </c>
      <c r="C14" s="5" t="s">
        <v>726</v>
      </c>
      <c r="D14" s="5" t="s">
        <v>730</v>
      </c>
      <c r="E14" s="464">
        <v>203436.52</v>
      </c>
      <c r="F14" s="5" t="s">
        <v>728</v>
      </c>
      <c r="G14" s="465">
        <v>54249.68</v>
      </c>
      <c r="H14" s="37">
        <f t="shared" si="0"/>
        <v>6362510.9697599998</v>
      </c>
      <c r="I14" s="5">
        <v>2022</v>
      </c>
      <c r="J14" s="362">
        <v>46482</v>
      </c>
      <c r="K14" s="5"/>
      <c r="L14" s="32">
        <v>44686</v>
      </c>
      <c r="M14" s="5">
        <v>3.1199999999999999E-2</v>
      </c>
      <c r="N14" s="5">
        <v>12</v>
      </c>
      <c r="O14" s="37">
        <v>1192973</v>
      </c>
      <c r="P14" s="37">
        <v>1192246</v>
      </c>
      <c r="Q14" s="37">
        <v>1192246</v>
      </c>
      <c r="R14" s="37">
        <v>1192246</v>
      </c>
      <c r="S14" s="37">
        <f>597.79*D2</f>
        <v>70110.006779999996</v>
      </c>
      <c r="T14" s="37">
        <f>554.76*D2</f>
        <v>65063.36232</v>
      </c>
      <c r="U14" s="37">
        <f>474.87*D2</f>
        <v>55693.70334</v>
      </c>
      <c r="V14" s="37">
        <f>408.34*D2</f>
        <v>47890.931879999996</v>
      </c>
    </row>
    <row r="15" spans="1:22" ht="24.95" customHeight="1" x14ac:dyDescent="0.25">
      <c r="B15" s="12" t="s">
        <v>714</v>
      </c>
      <c r="C15" s="5" t="s">
        <v>726</v>
      </c>
      <c r="D15" s="5" t="s">
        <v>730</v>
      </c>
      <c r="E15" s="464">
        <v>46762.23</v>
      </c>
      <c r="F15" s="5" t="s">
        <v>728</v>
      </c>
      <c r="G15" s="465">
        <v>16366.8</v>
      </c>
      <c r="H15" s="37">
        <f t="shared" si="0"/>
        <v>1919531.0375999999</v>
      </c>
      <c r="I15" s="5">
        <v>2022</v>
      </c>
      <c r="J15" s="362">
        <v>46634</v>
      </c>
      <c r="K15" s="5"/>
      <c r="L15" s="32">
        <v>44839</v>
      </c>
      <c r="M15" s="5">
        <v>3.44E-2</v>
      </c>
      <c r="N15" s="5">
        <v>12</v>
      </c>
      <c r="O15" s="37">
        <v>274218</v>
      </c>
      <c r="P15" s="37">
        <v>274051</v>
      </c>
      <c r="Q15" s="37">
        <v>274051</v>
      </c>
      <c r="R15" s="37">
        <v>274051</v>
      </c>
      <c r="S15" s="37">
        <f>193.88*D2</f>
        <v>22738.634159999998</v>
      </c>
      <c r="T15" s="37">
        <f>183.44*D2</f>
        <v>21514.210080000001</v>
      </c>
      <c r="U15" s="37">
        <f>160.88*D2</f>
        <v>18868.328159999997</v>
      </c>
      <c r="V15" s="37">
        <f>142.66*D2</f>
        <v>16731.450119999998</v>
      </c>
    </row>
    <row r="16" spans="1:22" ht="24.95" customHeight="1" x14ac:dyDescent="0.25">
      <c r="B16" s="12" t="s">
        <v>714</v>
      </c>
      <c r="C16" s="5" t="s">
        <v>726</v>
      </c>
      <c r="D16" s="5" t="s">
        <v>730</v>
      </c>
      <c r="E16" s="464">
        <v>160933.13</v>
      </c>
      <c r="F16" s="5" t="s">
        <v>728</v>
      </c>
      <c r="G16" s="465">
        <v>69737.649999999994</v>
      </c>
      <c r="H16" s="37">
        <f t="shared" si="0"/>
        <v>8178971.0672999993</v>
      </c>
      <c r="I16" s="5">
        <v>2023</v>
      </c>
      <c r="J16" s="362">
        <v>46796</v>
      </c>
      <c r="K16" s="5"/>
      <c r="L16" s="32">
        <v>44998</v>
      </c>
      <c r="M16" s="5">
        <v>6.4600000000000005E-2</v>
      </c>
      <c r="N16" s="5">
        <v>12</v>
      </c>
      <c r="O16" s="37">
        <v>943728</v>
      </c>
      <c r="P16" s="37">
        <v>943154</v>
      </c>
      <c r="Q16" s="37">
        <v>943154</v>
      </c>
      <c r="R16" s="37">
        <v>943154</v>
      </c>
      <c r="S16" s="37">
        <f>1481.68*D2</f>
        <v>173774.39376000001</v>
      </c>
      <c r="T16" s="37">
        <f>1422.95*D2</f>
        <v>166886.42189999999</v>
      </c>
      <c r="U16" s="37">
        <f>1270.33*D2</f>
        <v>148986.84305999998</v>
      </c>
      <c r="V16" s="37">
        <f>1149.76*D2</f>
        <v>134846.15231999999</v>
      </c>
    </row>
    <row r="17" spans="2:22" ht="24.95" customHeight="1" x14ac:dyDescent="0.25">
      <c r="B17" s="12" t="s">
        <v>714</v>
      </c>
      <c r="C17" s="5" t="s">
        <v>726</v>
      </c>
      <c r="D17" s="5" t="s">
        <v>730</v>
      </c>
      <c r="E17" s="464">
        <v>198996.41</v>
      </c>
      <c r="F17" s="5" t="s">
        <v>728</v>
      </c>
      <c r="G17" s="465">
        <v>86231.67</v>
      </c>
      <c r="H17" s="37">
        <f t="shared" si="0"/>
        <v>10113422.720939999</v>
      </c>
      <c r="I17" s="5">
        <v>2023</v>
      </c>
      <c r="J17" s="362">
        <v>46804</v>
      </c>
      <c r="K17" s="5"/>
      <c r="L17" s="32">
        <v>45006</v>
      </c>
      <c r="M17" s="5">
        <v>6.4600000000000005E-2</v>
      </c>
      <c r="N17" s="5">
        <v>12</v>
      </c>
      <c r="O17" s="37">
        <v>1166936</v>
      </c>
      <c r="P17" s="37">
        <v>1166226</v>
      </c>
      <c r="Q17" s="37">
        <v>1166226</v>
      </c>
      <c r="R17" s="37">
        <v>1166226</v>
      </c>
      <c r="S17" s="37">
        <f>1845.33*D2</f>
        <v>216423.99305999998</v>
      </c>
      <c r="T17" s="37">
        <f>1772.71*D2</f>
        <v>207906.97422</v>
      </c>
      <c r="U17" s="37">
        <f>1583.44*D2</f>
        <v>185709.01008000001</v>
      </c>
      <c r="V17" s="37">
        <f>1435.45*D2</f>
        <v>168352.44690000001</v>
      </c>
    </row>
    <row r="18" spans="2:22" ht="24.95" customHeight="1" x14ac:dyDescent="0.25">
      <c r="B18" s="29" t="s">
        <v>714</v>
      </c>
      <c r="C18" s="16" t="s">
        <v>726</v>
      </c>
      <c r="D18" s="5" t="s">
        <v>730</v>
      </c>
      <c r="E18" s="464">
        <v>66255.429999999993</v>
      </c>
      <c r="F18" s="5" t="s">
        <v>728</v>
      </c>
      <c r="G18" s="465">
        <v>33127.629999999997</v>
      </c>
      <c r="H18" s="37">
        <f t="shared" si="0"/>
        <v>3885274.7016599998</v>
      </c>
      <c r="I18" s="5">
        <v>2023</v>
      </c>
      <c r="J18" s="362">
        <v>46913</v>
      </c>
      <c r="K18" s="5"/>
      <c r="L18" s="32">
        <v>45117</v>
      </c>
      <c r="M18" s="5">
        <v>7.5899999999999995E-2</v>
      </c>
      <c r="N18" s="5">
        <v>12</v>
      </c>
      <c r="O18" s="37">
        <v>388529</v>
      </c>
      <c r="P18" s="37">
        <v>388293</v>
      </c>
      <c r="Q18" s="37">
        <v>388293</v>
      </c>
      <c r="R18" s="37">
        <v>388293</v>
      </c>
      <c r="S18" s="37">
        <f>790.66*D2</f>
        <v>92730.186119999998</v>
      </c>
      <c r="T18" s="37">
        <f>765.49*D2</f>
        <v>89778.198179999992</v>
      </c>
      <c r="U18" s="37">
        <f>689.75*D2</f>
        <v>80895.2595</v>
      </c>
      <c r="V18" s="37">
        <f>631.89*D2</f>
        <v>74109.322979999997</v>
      </c>
    </row>
    <row r="19" spans="2:22" ht="24.95" customHeight="1" x14ac:dyDescent="0.25">
      <c r="B19" s="29" t="s">
        <v>714</v>
      </c>
      <c r="C19" s="16" t="s">
        <v>726</v>
      </c>
      <c r="D19" s="5" t="s">
        <v>730</v>
      </c>
      <c r="E19" s="464">
        <v>199747.16</v>
      </c>
      <c r="F19" s="5" t="s">
        <v>728</v>
      </c>
      <c r="G19" s="465">
        <v>116519.16</v>
      </c>
      <c r="H19" s="37">
        <f t="shared" si="0"/>
        <v>13665600.123120001</v>
      </c>
      <c r="I19" s="5">
        <v>2023</v>
      </c>
      <c r="J19" s="362">
        <v>47071</v>
      </c>
      <c r="K19" s="5"/>
      <c r="L19" s="32">
        <v>45274</v>
      </c>
      <c r="M19" s="5">
        <v>8.1299999999999997E-2</v>
      </c>
      <c r="N19" s="5">
        <v>12</v>
      </c>
      <c r="O19" s="37">
        <v>1171338</v>
      </c>
      <c r="P19" s="37">
        <v>1170624</v>
      </c>
      <c r="Q19" s="37">
        <v>1170624</v>
      </c>
      <c r="R19" s="37">
        <v>1170624</v>
      </c>
      <c r="S19" s="37">
        <f>2870.26*D2</f>
        <v>336629.83332000003</v>
      </c>
      <c r="T19" s="37">
        <f>2802.91*D2</f>
        <v>328730.89061999996</v>
      </c>
      <c r="U19" s="37">
        <f>2552.27*D2</f>
        <v>299335.33013999998</v>
      </c>
      <c r="V19" s="37">
        <f>2365.51*D2</f>
        <v>277431.74382000003</v>
      </c>
    </row>
    <row r="20" spans="2:22" ht="24.95" customHeight="1" x14ac:dyDescent="0.25">
      <c r="B20" s="29" t="s">
        <v>714</v>
      </c>
      <c r="C20" s="16" t="s">
        <v>726</v>
      </c>
      <c r="D20" s="5" t="s">
        <v>730</v>
      </c>
      <c r="E20" s="464">
        <v>287775.92</v>
      </c>
      <c r="F20" s="5" t="s">
        <v>728</v>
      </c>
      <c r="G20" s="465">
        <v>196646.79</v>
      </c>
      <c r="H20" s="37">
        <f t="shared" si="0"/>
        <v>23063128.824779999</v>
      </c>
      <c r="I20" s="5">
        <v>2024</v>
      </c>
      <c r="J20" s="362">
        <v>47252</v>
      </c>
      <c r="K20" s="5"/>
      <c r="L20" s="32">
        <v>45457</v>
      </c>
      <c r="M20" s="5">
        <v>5.9700000000000003E-2</v>
      </c>
      <c r="N20" s="5">
        <v>12</v>
      </c>
      <c r="O20" s="37">
        <v>1687548</v>
      </c>
      <c r="P20" s="37">
        <v>1686521</v>
      </c>
      <c r="Q20" s="37">
        <v>1686521</v>
      </c>
      <c r="R20" s="37">
        <v>1686521</v>
      </c>
      <c r="S20" s="37">
        <f>3569.17*D2</f>
        <v>418599.39594000002</v>
      </c>
      <c r="T20" s="37">
        <f>3513.36*D2</f>
        <v>412053.88751999999</v>
      </c>
      <c r="U20" s="37">
        <f>3228.16*D2</f>
        <v>378605.06111999997</v>
      </c>
      <c r="V20" s="37">
        <f>3022.48*D2</f>
        <v>354482.49936000002</v>
      </c>
    </row>
    <row r="21" spans="2:22" ht="24.95" customHeight="1" x14ac:dyDescent="0.25">
      <c r="B21" s="29" t="s">
        <v>714</v>
      </c>
      <c r="C21" s="16" t="s">
        <v>726</v>
      </c>
      <c r="D21" s="5" t="s">
        <v>730</v>
      </c>
      <c r="E21" s="464">
        <v>127813.82</v>
      </c>
      <c r="F21" s="5" t="s">
        <v>728</v>
      </c>
      <c r="G21" s="465">
        <v>102251</v>
      </c>
      <c r="H21" s="37">
        <f t="shared" si="0"/>
        <v>11992201.782</v>
      </c>
      <c r="I21" s="5">
        <v>2024</v>
      </c>
      <c r="J21" s="362">
        <v>47472</v>
      </c>
      <c r="K21" s="5"/>
      <c r="L21" s="32">
        <v>45677</v>
      </c>
      <c r="M21" s="5">
        <v>5.9700000000000003E-2</v>
      </c>
      <c r="N21" s="5">
        <v>12</v>
      </c>
      <c r="O21" s="37">
        <v>749513</v>
      </c>
      <c r="P21" s="37">
        <v>749057</v>
      </c>
      <c r="Q21" s="37">
        <v>749057</v>
      </c>
      <c r="R21" s="37">
        <v>749057</v>
      </c>
      <c r="S21" s="37">
        <f>1467.41*D2</f>
        <v>172100.77962000002</v>
      </c>
      <c r="T21" s="37">
        <f>1835.05*D2</f>
        <v>215218.33409999998</v>
      </c>
      <c r="U21" s="37">
        <f>1699.84*D2</f>
        <v>199360.63488</v>
      </c>
      <c r="V21" s="37">
        <f>1605.4*D2</f>
        <v>188284.52280000001</v>
      </c>
    </row>
    <row r="22" spans="2:22" ht="24.95" customHeight="1" x14ac:dyDescent="0.25">
      <c r="B22" s="29" t="s">
        <v>714</v>
      </c>
      <c r="C22" s="16" t="s">
        <v>726</v>
      </c>
      <c r="D22" s="5" t="s">
        <v>730</v>
      </c>
      <c r="E22" s="464">
        <v>221857.44</v>
      </c>
      <c r="F22" s="5" t="s">
        <v>728</v>
      </c>
      <c r="G22" s="465">
        <v>177486</v>
      </c>
      <c r="H22" s="37">
        <f t="shared" si="0"/>
        <v>20815913.052000001</v>
      </c>
      <c r="I22" s="5">
        <v>2024</v>
      </c>
      <c r="J22" s="362">
        <v>47472</v>
      </c>
      <c r="K22" s="5"/>
      <c r="L22" s="32">
        <v>45677</v>
      </c>
      <c r="M22" s="5">
        <v>6.3700000000000007E-2</v>
      </c>
      <c r="N22" s="5">
        <v>12</v>
      </c>
      <c r="O22" s="37">
        <v>1300993</v>
      </c>
      <c r="P22" s="37">
        <v>1300201</v>
      </c>
      <c r="Q22" s="37">
        <v>1300201</v>
      </c>
      <c r="R22" s="37">
        <v>1300201</v>
      </c>
      <c r="S22" s="37">
        <f>2547.1*D2</f>
        <v>298728.98219999997</v>
      </c>
      <c r="T22" s="37">
        <f>3185.25*D2</f>
        <v>373572.49050000001</v>
      </c>
      <c r="U22" s="37">
        <f>2950.55*D2</f>
        <v>346046.40510000003</v>
      </c>
      <c r="V22" s="37">
        <f>2786.63*D2</f>
        <v>326821.53966000001</v>
      </c>
    </row>
    <row r="23" spans="2:22" s="1" customFormat="1" ht="24.95" customHeight="1" x14ac:dyDescent="0.25">
      <c r="B23" s="407" t="s">
        <v>714</v>
      </c>
      <c r="C23" s="407" t="s">
        <v>726</v>
      </c>
      <c r="D23" s="407" t="s">
        <v>730</v>
      </c>
      <c r="E23" s="408">
        <v>15397.75</v>
      </c>
      <c r="F23" s="408" t="s">
        <v>728</v>
      </c>
      <c r="G23" s="408">
        <v>13344.71</v>
      </c>
      <c r="H23" s="37">
        <f t="shared" si="0"/>
        <v>1565094.2782199997</v>
      </c>
      <c r="I23" s="472">
        <v>2025</v>
      </c>
      <c r="J23" s="474">
        <v>47582</v>
      </c>
      <c r="K23" s="408"/>
      <c r="L23" s="475">
        <v>45786</v>
      </c>
      <c r="M23" s="473">
        <v>5.7099999999999998E-2</v>
      </c>
      <c r="N23" s="408">
        <v>12</v>
      </c>
      <c r="O23" s="408"/>
      <c r="P23" s="408">
        <v>90294</v>
      </c>
      <c r="Q23" s="408">
        <v>90294</v>
      </c>
      <c r="R23" s="408">
        <v>90294</v>
      </c>
      <c r="S23" s="408">
        <v>0</v>
      </c>
      <c r="T23" s="408">
        <f>121*D2</f>
        <v>14191.121999999999</v>
      </c>
      <c r="U23" s="408">
        <f>195.95*D2</f>
        <v>22981.407899999998</v>
      </c>
      <c r="V23" s="37">
        <f>185.82*D2</f>
        <v>21793.341239999998</v>
      </c>
    </row>
    <row r="24" spans="2:22" ht="24.95" customHeight="1" x14ac:dyDescent="0.25">
      <c r="B24" s="6"/>
      <c r="C24" s="6" t="s">
        <v>731</v>
      </c>
      <c r="D24" s="5"/>
      <c r="E24" s="37"/>
      <c r="F24" s="5"/>
      <c r="G24" s="37">
        <f>SUM(G8:G23)</f>
        <v>888763.89</v>
      </c>
      <c r="H24" s="37">
        <f t="shared" ref="H24" si="1">G24*$D$2</f>
        <v>104236006.54697999</v>
      </c>
      <c r="I24" s="5"/>
      <c r="J24" s="362"/>
      <c r="K24" s="5"/>
      <c r="L24" s="32"/>
      <c r="M24" s="5"/>
      <c r="N24" s="5"/>
      <c r="O24" s="37">
        <f t="shared" ref="O24:V24" si="2">SUM(O8:O23)</f>
        <v>11866462</v>
      </c>
      <c r="P24" s="37">
        <f t="shared" si="2"/>
        <v>11949533</v>
      </c>
      <c r="Q24" s="37">
        <f t="shared" si="2"/>
        <v>11949533</v>
      </c>
      <c r="R24" s="37">
        <f t="shared" si="2"/>
        <v>10455105</v>
      </c>
      <c r="S24" s="37">
        <f t="shared" si="2"/>
        <v>1906949.02464</v>
      </c>
      <c r="T24" s="37">
        <f t="shared" si="2"/>
        <v>1977497.6660999998</v>
      </c>
      <c r="U24" s="37">
        <f t="shared" si="2"/>
        <v>1790948.9169000001</v>
      </c>
      <c r="V24" s="37">
        <f t="shared" si="2"/>
        <v>1643858.5237799999</v>
      </c>
    </row>
    <row r="25" spans="2:22" ht="24.95" customHeight="1" x14ac:dyDescent="0.25">
      <c r="B25" s="6"/>
      <c r="C25" s="6"/>
      <c r="D25" s="6"/>
      <c r="E25" s="33"/>
      <c r="F25" s="6"/>
      <c r="G25" s="33"/>
      <c r="H25" s="6"/>
      <c r="I25" s="6"/>
      <c r="J25" s="6"/>
      <c r="K25" s="6"/>
      <c r="L25" s="34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2:22" ht="24.95" customHeight="1" x14ac:dyDescent="0.25">
      <c r="B26" s="6"/>
      <c r="C26" s="6"/>
      <c r="D26" s="6"/>
      <c r="E26" s="33"/>
      <c r="F26" s="6"/>
      <c r="G26" s="33"/>
      <c r="H26" s="6"/>
      <c r="I26" s="6"/>
      <c r="J26" s="6"/>
      <c r="K26" s="6"/>
      <c r="L26" s="34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x14ac:dyDescent="0.25">
      <c r="B27" s="3" t="s">
        <v>1</v>
      </c>
    </row>
    <row r="28" spans="2:22" x14ac:dyDescent="0.25">
      <c r="B28" s="3" t="s">
        <v>34</v>
      </c>
      <c r="C28" s="9"/>
      <c r="D28" s="2"/>
      <c r="E28" s="2"/>
      <c r="F28" s="2"/>
    </row>
    <row r="29" spans="2:22" x14ac:dyDescent="0.25">
      <c r="B29" s="2" t="s">
        <v>717</v>
      </c>
      <c r="C29" s="38">
        <v>1</v>
      </c>
      <c r="D29" s="2"/>
      <c r="E29" s="2"/>
      <c r="F29" s="2"/>
      <c r="G29" s="2"/>
      <c r="N29" s="489"/>
    </row>
    <row r="31" spans="2:22" x14ac:dyDescent="0.25">
      <c r="B31" s="696"/>
      <c r="C31" s="696"/>
      <c r="E31" s="7"/>
      <c r="F31" s="7"/>
      <c r="G31" s="8"/>
      <c r="T31" s="1"/>
    </row>
    <row r="32" spans="2:22" x14ac:dyDescent="0.25">
      <c r="D32" s="7"/>
    </row>
    <row r="34" spans="6:11" x14ac:dyDescent="0.25">
      <c r="F34" s="6"/>
      <c r="G34" s="6"/>
      <c r="H34" s="6"/>
      <c r="I34" s="6"/>
      <c r="J34" s="6"/>
      <c r="K34" s="6"/>
    </row>
    <row r="35" spans="6:11" x14ac:dyDescent="0.25">
      <c r="F35" s="17"/>
      <c r="G35" s="17"/>
      <c r="H35" s="17"/>
      <c r="I35" s="17"/>
      <c r="J35" s="6"/>
      <c r="K35" s="6"/>
    </row>
    <row r="36" spans="6:11" x14ac:dyDescent="0.25">
      <c r="F36" s="17"/>
      <c r="G36" s="17"/>
      <c r="H36" s="17"/>
      <c r="I36" s="17"/>
      <c r="J36" s="6"/>
      <c r="K36" s="6"/>
    </row>
    <row r="37" spans="6:11" x14ac:dyDescent="0.25">
      <c r="F37" s="6"/>
      <c r="G37" s="6"/>
      <c r="H37" s="6"/>
      <c r="I37" s="6"/>
      <c r="J37" s="6"/>
      <c r="K37" s="6"/>
    </row>
  </sheetData>
  <mergeCells count="16">
    <mergeCell ref="B31:C31"/>
    <mergeCell ref="I6:I7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topLeftCell="A10" zoomScale="55" zoomScaleNormal="55" workbookViewId="0">
      <selection activeCell="G30" sqref="G30"/>
    </sheetView>
  </sheetViews>
  <sheetFormatPr defaultColWidth="9.140625" defaultRowHeight="15.75" x14ac:dyDescent="0.25"/>
  <cols>
    <col min="1" max="1" width="16.42578125" style="76" customWidth="1"/>
    <col min="2" max="2" width="21.7109375" style="76" customWidth="1"/>
    <col min="3" max="3" width="28.7109375" style="315" customWidth="1"/>
    <col min="4" max="4" width="60.5703125" style="76" customWidth="1"/>
    <col min="5" max="7" width="50.7109375" style="76" customWidth="1"/>
    <col min="8" max="16384" width="9.140625" style="76"/>
  </cols>
  <sheetData>
    <row r="1" spans="2:18" ht="20.25" x14ac:dyDescent="0.3">
      <c r="B1" s="290"/>
      <c r="C1" s="291"/>
      <c r="D1" s="290"/>
      <c r="E1" s="290"/>
      <c r="F1" s="290"/>
      <c r="G1" s="290"/>
    </row>
    <row r="2" spans="2:18" ht="20.25" x14ac:dyDescent="0.3">
      <c r="B2" s="292"/>
      <c r="C2" s="293"/>
      <c r="D2" s="294"/>
      <c r="E2" s="294"/>
      <c r="F2" s="294"/>
      <c r="G2" s="294"/>
    </row>
    <row r="3" spans="2:18" ht="20.25" x14ac:dyDescent="0.3">
      <c r="B3" s="295"/>
      <c r="C3" s="293"/>
      <c r="D3" s="294"/>
      <c r="E3" s="294"/>
      <c r="F3" s="294"/>
      <c r="G3" s="296" t="s">
        <v>200</v>
      </c>
    </row>
    <row r="4" spans="2:18" ht="20.25" x14ac:dyDescent="0.3">
      <c r="B4" s="292"/>
      <c r="C4" s="293"/>
      <c r="D4" s="294"/>
      <c r="E4" s="294"/>
      <c r="F4" s="294"/>
      <c r="G4" s="294"/>
    </row>
    <row r="5" spans="2:18" ht="20.25" x14ac:dyDescent="0.3">
      <c r="B5" s="292"/>
      <c r="C5" s="293"/>
      <c r="D5" s="294"/>
      <c r="E5" s="294"/>
      <c r="F5" s="294"/>
      <c r="G5" s="294"/>
    </row>
    <row r="6" spans="2:18" ht="20.25" x14ac:dyDescent="0.3">
      <c r="B6" s="290"/>
      <c r="C6" s="291"/>
      <c r="D6" s="290"/>
      <c r="E6" s="290"/>
      <c r="F6" s="290"/>
      <c r="G6" s="290"/>
    </row>
    <row r="7" spans="2:18" ht="30" x14ac:dyDescent="0.4">
      <c r="B7" s="713" t="s">
        <v>82</v>
      </c>
      <c r="C7" s="713"/>
      <c r="D7" s="713"/>
      <c r="E7" s="713"/>
      <c r="F7" s="713"/>
      <c r="G7" s="713"/>
      <c r="H7" s="79"/>
      <c r="I7" s="79"/>
      <c r="J7" s="79"/>
      <c r="K7" s="79"/>
    </row>
    <row r="8" spans="2:18" ht="20.25" x14ac:dyDescent="0.3">
      <c r="B8" s="290"/>
      <c r="C8" s="291"/>
      <c r="D8" s="290"/>
      <c r="E8" s="290"/>
      <c r="F8" s="290"/>
      <c r="G8" s="290"/>
    </row>
    <row r="9" spans="2:18" ht="20.25" x14ac:dyDescent="0.3">
      <c r="B9" s="290"/>
      <c r="C9" s="291"/>
      <c r="D9" s="290"/>
      <c r="E9" s="290"/>
      <c r="F9" s="290"/>
      <c r="G9" s="290"/>
    </row>
    <row r="10" spans="2:18" ht="20.25" x14ac:dyDescent="0.3">
      <c r="B10" s="292"/>
      <c r="C10" s="293"/>
      <c r="D10" s="292"/>
      <c r="E10" s="292"/>
      <c r="F10" s="292"/>
      <c r="G10" s="292"/>
      <c r="H10" s="79"/>
      <c r="I10" s="79"/>
      <c r="J10" s="79"/>
      <c r="K10" s="79"/>
    </row>
    <row r="11" spans="2:18" ht="21" thickBot="1" x14ac:dyDescent="0.35">
      <c r="B11" s="290"/>
      <c r="C11" s="291"/>
      <c r="D11" s="290"/>
      <c r="E11" s="290"/>
      <c r="F11" s="290"/>
      <c r="G11" s="290"/>
    </row>
    <row r="12" spans="2:18" s="92" customFormat="1" ht="65.099999999999994" customHeight="1" thickBot="1" x14ac:dyDescent="0.35">
      <c r="B12" s="297" t="s">
        <v>83</v>
      </c>
      <c r="C12" s="298" t="s">
        <v>80</v>
      </c>
      <c r="D12" s="299" t="s">
        <v>84</v>
      </c>
      <c r="E12" s="299" t="s">
        <v>85</v>
      </c>
      <c r="F12" s="299" t="s">
        <v>86</v>
      </c>
      <c r="G12" s="300" t="s">
        <v>87</v>
      </c>
      <c r="H12" s="301"/>
      <c r="I12" s="301"/>
      <c r="J12" s="712"/>
      <c r="K12" s="712"/>
      <c r="L12" s="712"/>
      <c r="M12" s="712"/>
      <c r="N12" s="712"/>
      <c r="O12" s="712"/>
      <c r="P12" s="712"/>
      <c r="Q12" s="91"/>
      <c r="R12" s="91"/>
    </row>
    <row r="13" spans="2:18" s="92" customFormat="1" ht="19.899999999999999" customHeight="1" x14ac:dyDescent="0.3">
      <c r="B13" s="302">
        <v>1</v>
      </c>
      <c r="C13" s="303">
        <v>2</v>
      </c>
      <c r="D13" s="304">
        <v>3</v>
      </c>
      <c r="E13" s="304">
        <v>4</v>
      </c>
      <c r="F13" s="304">
        <v>5</v>
      </c>
      <c r="G13" s="305">
        <v>6</v>
      </c>
      <c r="H13" s="301"/>
      <c r="I13" s="301"/>
      <c r="J13" s="712"/>
      <c r="K13" s="712"/>
      <c r="L13" s="712"/>
      <c r="M13" s="712"/>
      <c r="N13" s="712"/>
      <c r="O13" s="712"/>
      <c r="P13" s="712"/>
      <c r="Q13" s="91"/>
      <c r="R13" s="91"/>
    </row>
    <row r="14" spans="2:18" s="92" customFormat="1" ht="35.1" customHeight="1" x14ac:dyDescent="0.3">
      <c r="B14" s="714" t="s">
        <v>743</v>
      </c>
      <c r="C14" s="306" t="s">
        <v>128</v>
      </c>
      <c r="D14" s="307" t="s">
        <v>718</v>
      </c>
      <c r="E14" s="307"/>
      <c r="F14" s="307"/>
      <c r="G14" s="363">
        <v>46672173</v>
      </c>
      <c r="J14" s="91"/>
      <c r="K14" s="91"/>
      <c r="L14" s="91"/>
      <c r="M14" s="91"/>
      <c r="N14" s="91"/>
      <c r="O14" s="91"/>
      <c r="P14" s="91"/>
      <c r="Q14" s="91"/>
      <c r="R14" s="91"/>
    </row>
    <row r="15" spans="2:18" s="92" customFormat="1" ht="35.1" customHeight="1" x14ac:dyDescent="0.3">
      <c r="B15" s="715"/>
      <c r="C15" s="306" t="s">
        <v>128</v>
      </c>
      <c r="D15" s="307" t="s">
        <v>719</v>
      </c>
      <c r="E15" s="307"/>
      <c r="F15" s="307"/>
      <c r="G15" s="363">
        <v>6868523</v>
      </c>
    </row>
    <row r="16" spans="2:18" s="92" customFormat="1" ht="35.1" customHeight="1" x14ac:dyDescent="0.3">
      <c r="B16" s="715"/>
      <c r="C16" s="306" t="s">
        <v>128</v>
      </c>
      <c r="D16" s="307" t="s">
        <v>720</v>
      </c>
      <c r="E16" s="307"/>
      <c r="F16" s="307"/>
      <c r="G16" s="363">
        <v>78490</v>
      </c>
    </row>
    <row r="17" spans="2:7" s="92" customFormat="1" ht="35.1" customHeight="1" thickBot="1" x14ac:dyDescent="0.35">
      <c r="B17" s="716"/>
      <c r="C17" s="308" t="s">
        <v>215</v>
      </c>
      <c r="D17" s="13"/>
      <c r="E17" s="13"/>
      <c r="F17" s="13"/>
      <c r="G17" s="364">
        <f>SUM(G14:G16)</f>
        <v>53619186</v>
      </c>
    </row>
    <row r="18" spans="2:7" s="92" customFormat="1" ht="35.1" customHeight="1" x14ac:dyDescent="0.3">
      <c r="B18" s="709" t="s">
        <v>744</v>
      </c>
      <c r="C18" s="309" t="s">
        <v>128</v>
      </c>
      <c r="D18" s="310" t="s">
        <v>718</v>
      </c>
      <c r="E18" s="310"/>
      <c r="F18" s="310"/>
      <c r="G18" s="365">
        <v>11436432</v>
      </c>
    </row>
    <row r="19" spans="2:7" s="92" customFormat="1" ht="35.1" customHeight="1" x14ac:dyDescent="0.3">
      <c r="B19" s="710"/>
      <c r="C19" s="306" t="s">
        <v>128</v>
      </c>
      <c r="D19" s="307" t="s">
        <v>719</v>
      </c>
      <c r="E19" s="307"/>
      <c r="F19" s="307"/>
      <c r="G19" s="363">
        <v>6622383</v>
      </c>
    </row>
    <row r="20" spans="2:7" s="92" customFormat="1" ht="35.1" customHeight="1" x14ac:dyDescent="0.3">
      <c r="B20" s="710"/>
      <c r="C20" s="306" t="s">
        <v>128</v>
      </c>
      <c r="D20" s="307" t="s">
        <v>720</v>
      </c>
      <c r="E20" s="307"/>
      <c r="F20" s="307"/>
      <c r="G20" s="363">
        <v>28703</v>
      </c>
    </row>
    <row r="21" spans="2:7" s="92" customFormat="1" ht="35.1" customHeight="1" thickBot="1" x14ac:dyDescent="0.35">
      <c r="B21" s="711"/>
      <c r="C21" s="308" t="s">
        <v>215</v>
      </c>
      <c r="D21" s="14"/>
      <c r="E21" s="14"/>
      <c r="F21" s="13"/>
      <c r="G21" s="364">
        <f>SUM(G18:G20)</f>
        <v>18087518</v>
      </c>
    </row>
    <row r="22" spans="2:7" s="92" customFormat="1" ht="35.1" customHeight="1" x14ac:dyDescent="0.3">
      <c r="B22" s="709" t="s">
        <v>745</v>
      </c>
      <c r="C22" s="309" t="s">
        <v>128</v>
      </c>
      <c r="D22" s="311" t="s">
        <v>718</v>
      </c>
      <c r="E22" s="311"/>
      <c r="F22" s="310"/>
      <c r="G22" s="365">
        <v>27198953</v>
      </c>
    </row>
    <row r="23" spans="2:7" s="92" customFormat="1" ht="35.1" customHeight="1" x14ac:dyDescent="0.3">
      <c r="B23" s="717"/>
      <c r="C23" s="312" t="s">
        <v>128</v>
      </c>
      <c r="D23" s="307" t="s">
        <v>719</v>
      </c>
      <c r="E23" s="307"/>
      <c r="F23" s="307"/>
      <c r="G23" s="363">
        <v>4698902</v>
      </c>
    </row>
    <row r="24" spans="2:7" s="92" customFormat="1" ht="35.1" customHeight="1" x14ac:dyDescent="0.3">
      <c r="B24" s="717"/>
      <c r="C24" s="312" t="s">
        <v>128</v>
      </c>
      <c r="D24" s="307" t="s">
        <v>720</v>
      </c>
      <c r="E24" s="307"/>
      <c r="F24" s="307"/>
      <c r="G24" s="363">
        <v>88621</v>
      </c>
    </row>
    <row r="25" spans="2:7" s="92" customFormat="1" ht="35.1" customHeight="1" thickBot="1" x14ac:dyDescent="0.35">
      <c r="B25" s="718"/>
      <c r="C25" s="308" t="s">
        <v>215</v>
      </c>
      <c r="D25" s="13"/>
      <c r="E25" s="13"/>
      <c r="F25" s="13"/>
      <c r="G25" s="364">
        <f>G22+G23+G24</f>
        <v>31986476</v>
      </c>
    </row>
    <row r="26" spans="2:7" s="92" customFormat="1" ht="35.1" customHeight="1" x14ac:dyDescent="0.3">
      <c r="B26" s="709" t="s">
        <v>746</v>
      </c>
      <c r="C26" s="309" t="s">
        <v>128</v>
      </c>
      <c r="D26" s="310" t="s">
        <v>718</v>
      </c>
      <c r="E26" s="310"/>
      <c r="F26" s="310"/>
      <c r="G26" s="365">
        <v>31594500</v>
      </c>
    </row>
    <row r="27" spans="2:7" s="92" customFormat="1" ht="35.1" customHeight="1" x14ac:dyDescent="0.3">
      <c r="B27" s="710"/>
      <c r="C27" s="306" t="s">
        <v>128</v>
      </c>
      <c r="D27" s="307" t="s">
        <v>719</v>
      </c>
      <c r="E27" s="307"/>
      <c r="F27" s="307"/>
      <c r="G27" s="363">
        <v>4988207</v>
      </c>
    </row>
    <row r="28" spans="2:7" s="92" customFormat="1" ht="35.1" customHeight="1" x14ac:dyDescent="0.3">
      <c r="B28" s="710"/>
      <c r="C28" s="306" t="s">
        <v>128</v>
      </c>
      <c r="D28" s="307" t="s">
        <v>720</v>
      </c>
      <c r="E28" s="307"/>
      <c r="F28" s="307"/>
      <c r="G28" s="363">
        <v>311461</v>
      </c>
    </row>
    <row r="29" spans="2:7" s="92" customFormat="1" ht="35.1" customHeight="1" thickBot="1" x14ac:dyDescent="0.35">
      <c r="B29" s="711"/>
      <c r="C29" s="308" t="s">
        <v>215</v>
      </c>
      <c r="D29" s="13"/>
      <c r="E29" s="13"/>
      <c r="F29" s="13"/>
      <c r="G29" s="364">
        <v>36894168</v>
      </c>
    </row>
    <row r="30" spans="2:7" s="92" customFormat="1" ht="35.1" customHeight="1" x14ac:dyDescent="0.3">
      <c r="B30" s="709" t="s">
        <v>747</v>
      </c>
      <c r="C30" s="313" t="s">
        <v>128</v>
      </c>
      <c r="D30" s="310" t="s">
        <v>718</v>
      </c>
      <c r="E30" s="310"/>
      <c r="F30" s="310"/>
      <c r="G30" s="479">
        <v>20525087</v>
      </c>
    </row>
    <row r="31" spans="2:7" s="92" customFormat="1" ht="35.1" customHeight="1" x14ac:dyDescent="0.3">
      <c r="B31" s="710"/>
      <c r="C31" s="306" t="s">
        <v>128</v>
      </c>
      <c r="D31" s="307" t="s">
        <v>719</v>
      </c>
      <c r="E31" s="307"/>
      <c r="F31" s="307"/>
      <c r="G31" s="363">
        <v>5240538</v>
      </c>
    </row>
    <row r="32" spans="2:7" s="92" customFormat="1" ht="35.1" customHeight="1" x14ac:dyDescent="0.3">
      <c r="B32" s="710"/>
      <c r="C32" s="306" t="s">
        <v>128</v>
      </c>
      <c r="D32" s="307" t="s">
        <v>720</v>
      </c>
      <c r="E32" s="314"/>
      <c r="F32" s="314"/>
      <c r="G32" s="480">
        <v>65230</v>
      </c>
    </row>
    <row r="33" spans="2:10" s="92" customFormat="1" ht="35.1" customHeight="1" thickBot="1" x14ac:dyDescent="0.35">
      <c r="B33" s="711"/>
      <c r="C33" s="308" t="s">
        <v>215</v>
      </c>
      <c r="D33" s="15"/>
      <c r="E33" s="14"/>
      <c r="F33" s="14"/>
      <c r="G33" s="481">
        <v>25830855</v>
      </c>
    </row>
    <row r="34" spans="2:10" s="92" customFormat="1" ht="20.25" x14ac:dyDescent="0.3">
      <c r="B34" s="290"/>
      <c r="C34" s="291"/>
      <c r="D34" s="290"/>
      <c r="E34" s="290"/>
      <c r="F34" s="290"/>
      <c r="G34" s="290"/>
    </row>
    <row r="35" spans="2:10" ht="19.5" customHeight="1" x14ac:dyDescent="0.25">
      <c r="B35" s="39"/>
      <c r="C35" s="39"/>
      <c r="D35" s="39"/>
      <c r="F35" s="69"/>
      <c r="G35" s="69"/>
      <c r="H35" s="69"/>
      <c r="I35" s="69"/>
      <c r="J35" s="69"/>
    </row>
    <row r="36" spans="2:10" ht="20.25" x14ac:dyDescent="0.3">
      <c r="B36" s="290"/>
      <c r="C36" s="291"/>
      <c r="D36" s="290"/>
      <c r="E36" s="120"/>
      <c r="F36" s="290"/>
      <c r="G36" s="290"/>
    </row>
    <row r="37" spans="2:10" ht="20.25" x14ac:dyDescent="0.3">
      <c r="B37" s="290"/>
      <c r="C37" s="291"/>
      <c r="D37" s="290"/>
      <c r="E37" s="290"/>
      <c r="F37" s="290"/>
      <c r="G37" s="290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18:C20 C22:C24 C26:C2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view="pageLayout" topLeftCell="A4" zoomScaleNormal="100" workbookViewId="0">
      <selection activeCell="P38" sqref="P38"/>
    </sheetView>
  </sheetViews>
  <sheetFormatPr defaultColWidth="9.140625" defaultRowHeight="15.75" x14ac:dyDescent="0.25"/>
  <cols>
    <col min="1" max="1" width="1.140625" style="316" customWidth="1"/>
    <col min="2" max="2" width="5.5703125" style="316" customWidth="1"/>
    <col min="3" max="3" width="28.7109375" style="316" customWidth="1"/>
    <col min="4" max="7" width="14.7109375" style="316" customWidth="1"/>
    <col min="8" max="8" width="24.140625" style="316" customWidth="1"/>
    <col min="9" max="16" width="13.7109375" style="316" customWidth="1"/>
    <col min="17" max="17" width="9.140625" style="316" customWidth="1"/>
    <col min="18" max="16384" width="9.140625" style="316"/>
  </cols>
  <sheetData>
    <row r="1" spans="1:16" x14ac:dyDescent="0.25">
      <c r="P1" s="317" t="s">
        <v>199</v>
      </c>
    </row>
    <row r="3" spans="1:16" ht="22.5" x14ac:dyDescent="0.3">
      <c r="B3" s="722" t="s">
        <v>684</v>
      </c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</row>
    <row r="5" spans="1:16" ht="16.5" thickBot="1" x14ac:dyDescent="0.3">
      <c r="P5" s="318" t="s">
        <v>2</v>
      </c>
    </row>
    <row r="6" spans="1:16" ht="28.5" customHeight="1" thickBot="1" x14ac:dyDescent="0.3">
      <c r="B6" s="723" t="s">
        <v>685</v>
      </c>
      <c r="C6" s="723" t="s">
        <v>686</v>
      </c>
      <c r="D6" s="723" t="s">
        <v>687</v>
      </c>
      <c r="E6" s="723" t="s">
        <v>688</v>
      </c>
      <c r="F6" s="723" t="s">
        <v>689</v>
      </c>
      <c r="G6" s="723" t="s">
        <v>748</v>
      </c>
      <c r="H6" s="723" t="s">
        <v>690</v>
      </c>
      <c r="I6" s="725" t="s">
        <v>749</v>
      </c>
      <c r="J6" s="726"/>
      <c r="K6" s="726"/>
      <c r="L6" s="726"/>
      <c r="M6" s="726"/>
      <c r="N6" s="726"/>
      <c r="O6" s="726"/>
      <c r="P6" s="727"/>
    </row>
    <row r="7" spans="1:16" ht="36" customHeight="1" thickBot="1" x14ac:dyDescent="0.3">
      <c r="B7" s="724"/>
      <c r="C7" s="724"/>
      <c r="D7" s="724"/>
      <c r="E7" s="724"/>
      <c r="F7" s="724"/>
      <c r="G7" s="724"/>
      <c r="H7" s="724"/>
      <c r="I7" s="319" t="s">
        <v>691</v>
      </c>
      <c r="J7" s="319" t="s">
        <v>692</v>
      </c>
      <c r="K7" s="319" t="s">
        <v>693</v>
      </c>
      <c r="L7" s="319" t="s">
        <v>694</v>
      </c>
      <c r="M7" s="319" t="s">
        <v>695</v>
      </c>
      <c r="N7" s="319" t="s">
        <v>696</v>
      </c>
      <c r="O7" s="319" t="s">
        <v>697</v>
      </c>
      <c r="P7" s="320" t="s">
        <v>698</v>
      </c>
    </row>
    <row r="8" spans="1:16" x14ac:dyDescent="0.25">
      <c r="A8" s="321"/>
      <c r="B8" s="728" t="s">
        <v>50</v>
      </c>
      <c r="C8" s="731" t="s">
        <v>724</v>
      </c>
      <c r="D8" s="734">
        <v>2024</v>
      </c>
      <c r="E8" s="734">
        <v>2024</v>
      </c>
      <c r="F8" s="737"/>
      <c r="G8" s="719"/>
      <c r="H8" s="322" t="s">
        <v>699</v>
      </c>
      <c r="I8" s="323"/>
      <c r="J8" s="323">
        <v>1805000</v>
      </c>
      <c r="K8" s="323">
        <v>25520000</v>
      </c>
      <c r="L8" s="323">
        <v>1805000</v>
      </c>
      <c r="M8" s="323">
        <v>41800000</v>
      </c>
      <c r="N8" s="323">
        <v>1805000</v>
      </c>
      <c r="O8" s="323">
        <v>60000000</v>
      </c>
      <c r="P8" s="324">
        <v>1805000</v>
      </c>
    </row>
    <row r="9" spans="1:16" x14ac:dyDescent="0.25">
      <c r="A9" s="321"/>
      <c r="B9" s="729"/>
      <c r="C9" s="732"/>
      <c r="D9" s="735"/>
      <c r="E9" s="735"/>
      <c r="F9" s="738"/>
      <c r="G9" s="720"/>
      <c r="H9" s="322" t="s">
        <v>700</v>
      </c>
      <c r="I9" s="323"/>
      <c r="J9" s="323"/>
      <c r="K9" s="323"/>
      <c r="L9" s="323"/>
      <c r="M9" s="323"/>
      <c r="N9" s="323"/>
      <c r="O9" s="323"/>
      <c r="P9" s="324"/>
    </row>
    <row r="10" spans="1:16" x14ac:dyDescent="0.25">
      <c r="A10" s="321"/>
      <c r="B10" s="729"/>
      <c r="C10" s="732"/>
      <c r="D10" s="735"/>
      <c r="E10" s="735"/>
      <c r="F10" s="738"/>
      <c r="G10" s="720"/>
      <c r="H10" s="322" t="s">
        <v>47</v>
      </c>
      <c r="I10" s="323"/>
      <c r="J10" s="323"/>
      <c r="K10" s="323"/>
      <c r="L10" s="323"/>
      <c r="M10" s="323"/>
      <c r="N10" s="323"/>
      <c r="O10" s="323"/>
      <c r="P10" s="324"/>
    </row>
    <row r="11" spans="1:16" x14ac:dyDescent="0.25">
      <c r="A11" s="321"/>
      <c r="B11" s="729"/>
      <c r="C11" s="732"/>
      <c r="D11" s="735"/>
      <c r="E11" s="735"/>
      <c r="F11" s="738"/>
      <c r="G11" s="720"/>
      <c r="H11" s="322" t="s">
        <v>701</v>
      </c>
      <c r="I11" s="323">
        <v>70000000</v>
      </c>
      <c r="J11" s="323">
        <v>17232180</v>
      </c>
      <c r="K11" s="323">
        <v>90480000</v>
      </c>
      <c r="L11" s="323">
        <v>29606764</v>
      </c>
      <c r="M11" s="323">
        <v>148200000</v>
      </c>
      <c r="N11" s="323">
        <v>40423708</v>
      </c>
      <c r="O11" s="323">
        <v>42000000</v>
      </c>
      <c r="P11" s="324">
        <v>51466828</v>
      </c>
    </row>
    <row r="12" spans="1:16" x14ac:dyDescent="0.25">
      <c r="A12" s="321"/>
      <c r="B12" s="730"/>
      <c r="C12" s="733"/>
      <c r="D12" s="736"/>
      <c r="E12" s="736"/>
      <c r="F12" s="739"/>
      <c r="G12" s="721"/>
      <c r="H12" s="322" t="s">
        <v>702</v>
      </c>
      <c r="I12" s="323">
        <f>SUM(I8:I11)</f>
        <v>70000000</v>
      </c>
      <c r="J12" s="323">
        <f t="shared" ref="J12:P12" si="0">SUM(J8:J11)</f>
        <v>19037180</v>
      </c>
      <c r="K12" s="323">
        <f t="shared" si="0"/>
        <v>116000000</v>
      </c>
      <c r="L12" s="323">
        <f t="shared" si="0"/>
        <v>31411764</v>
      </c>
      <c r="M12" s="323">
        <f t="shared" si="0"/>
        <v>190000000</v>
      </c>
      <c r="N12" s="323">
        <f t="shared" si="0"/>
        <v>42228708</v>
      </c>
      <c r="O12" s="323">
        <f t="shared" si="0"/>
        <v>102000000</v>
      </c>
      <c r="P12" s="323">
        <f t="shared" si="0"/>
        <v>53271828</v>
      </c>
    </row>
    <row r="13" spans="1:16" x14ac:dyDescent="0.25">
      <c r="A13" s="321"/>
      <c r="B13" s="728" t="s">
        <v>51</v>
      </c>
      <c r="C13" s="731"/>
      <c r="D13" s="734"/>
      <c r="E13" s="734"/>
      <c r="F13" s="737"/>
      <c r="G13" s="719"/>
      <c r="H13" s="322" t="s">
        <v>699</v>
      </c>
      <c r="I13" s="323"/>
      <c r="J13" s="323"/>
      <c r="K13" s="323"/>
      <c r="L13" s="323"/>
      <c r="M13" s="323"/>
      <c r="N13" s="323"/>
      <c r="O13" s="323"/>
      <c r="P13" s="324"/>
    </row>
    <row r="14" spans="1:16" x14ac:dyDescent="0.25">
      <c r="A14" s="321"/>
      <c r="B14" s="729"/>
      <c r="C14" s="732"/>
      <c r="D14" s="735"/>
      <c r="E14" s="735"/>
      <c r="F14" s="738"/>
      <c r="G14" s="720"/>
      <c r="H14" s="322" t="s">
        <v>700</v>
      </c>
      <c r="I14" s="323"/>
      <c r="J14" s="323"/>
      <c r="K14" s="323"/>
      <c r="L14" s="323"/>
      <c r="M14" s="323"/>
      <c r="N14" s="323"/>
      <c r="O14" s="323"/>
      <c r="P14" s="324"/>
    </row>
    <row r="15" spans="1:16" x14ac:dyDescent="0.25">
      <c r="A15" s="321"/>
      <c r="B15" s="729"/>
      <c r="C15" s="732"/>
      <c r="D15" s="735"/>
      <c r="E15" s="735"/>
      <c r="F15" s="738"/>
      <c r="G15" s="720"/>
      <c r="H15" s="322" t="s">
        <v>47</v>
      </c>
      <c r="I15" s="323"/>
      <c r="J15" s="323"/>
      <c r="K15" s="323"/>
      <c r="L15" s="323"/>
      <c r="M15" s="323"/>
      <c r="N15" s="323"/>
      <c r="O15" s="323"/>
      <c r="P15" s="324"/>
    </row>
    <row r="16" spans="1:16" x14ac:dyDescent="0.25">
      <c r="A16" s="321"/>
      <c r="B16" s="729"/>
      <c r="C16" s="732"/>
      <c r="D16" s="735"/>
      <c r="E16" s="735"/>
      <c r="F16" s="738"/>
      <c r="G16" s="720"/>
      <c r="H16" s="322" t="s">
        <v>701</v>
      </c>
      <c r="I16" s="323"/>
      <c r="J16" s="323"/>
      <c r="K16" s="323"/>
      <c r="L16" s="323"/>
      <c r="M16" s="323"/>
      <c r="N16" s="323"/>
      <c r="O16" s="323"/>
      <c r="P16" s="324"/>
    </row>
    <row r="17" spans="1:16" x14ac:dyDescent="0.25">
      <c r="A17" s="321"/>
      <c r="B17" s="730"/>
      <c r="C17" s="733"/>
      <c r="D17" s="736"/>
      <c r="E17" s="736"/>
      <c r="F17" s="739"/>
      <c r="G17" s="721"/>
      <c r="H17" s="322" t="s">
        <v>702</v>
      </c>
      <c r="I17" s="323"/>
      <c r="J17" s="323"/>
      <c r="K17" s="323"/>
      <c r="L17" s="323"/>
      <c r="M17" s="323"/>
      <c r="N17" s="323"/>
      <c r="O17" s="323"/>
      <c r="P17" s="324"/>
    </row>
    <row r="18" spans="1:16" x14ac:dyDescent="0.25">
      <c r="A18" s="321"/>
      <c r="B18" s="728" t="s">
        <v>52</v>
      </c>
      <c r="C18" s="731"/>
      <c r="D18" s="734"/>
      <c r="E18" s="734"/>
      <c r="F18" s="737"/>
      <c r="G18" s="719"/>
      <c r="H18" s="322" t="s">
        <v>699</v>
      </c>
      <c r="I18" s="323"/>
      <c r="J18" s="323"/>
      <c r="K18" s="323"/>
      <c r="L18" s="323"/>
      <c r="M18" s="323"/>
      <c r="N18" s="323"/>
      <c r="O18" s="323"/>
      <c r="P18" s="324"/>
    </row>
    <row r="19" spans="1:16" x14ac:dyDescent="0.25">
      <c r="A19" s="321"/>
      <c r="B19" s="729"/>
      <c r="C19" s="732"/>
      <c r="D19" s="735"/>
      <c r="E19" s="735"/>
      <c r="F19" s="738"/>
      <c r="G19" s="720"/>
      <c r="H19" s="322" t="s">
        <v>700</v>
      </c>
      <c r="I19" s="323"/>
      <c r="J19" s="323"/>
      <c r="K19" s="323"/>
      <c r="L19" s="323"/>
      <c r="M19" s="323"/>
      <c r="N19" s="323"/>
      <c r="O19" s="323"/>
      <c r="P19" s="324"/>
    </row>
    <row r="20" spans="1:16" x14ac:dyDescent="0.25">
      <c r="A20" s="321"/>
      <c r="B20" s="729"/>
      <c r="C20" s="732"/>
      <c r="D20" s="735"/>
      <c r="E20" s="735"/>
      <c r="F20" s="738"/>
      <c r="G20" s="720"/>
      <c r="H20" s="322" t="s">
        <v>47</v>
      </c>
      <c r="I20" s="323"/>
      <c r="J20" s="323"/>
      <c r="K20" s="323"/>
      <c r="L20" s="323"/>
      <c r="M20" s="323"/>
      <c r="N20" s="323"/>
      <c r="O20" s="323"/>
      <c r="P20" s="324"/>
    </row>
    <row r="21" spans="1:16" x14ac:dyDescent="0.25">
      <c r="A21" s="321"/>
      <c r="B21" s="729"/>
      <c r="C21" s="732"/>
      <c r="D21" s="735"/>
      <c r="E21" s="735"/>
      <c r="F21" s="738"/>
      <c r="G21" s="720"/>
      <c r="H21" s="322" t="s">
        <v>701</v>
      </c>
      <c r="I21" s="323"/>
      <c r="J21" s="323"/>
      <c r="K21" s="323"/>
      <c r="L21" s="323"/>
      <c r="M21" s="323"/>
      <c r="N21" s="323"/>
      <c r="O21" s="323"/>
      <c r="P21" s="324"/>
    </row>
    <row r="22" spans="1:16" x14ac:dyDescent="0.25">
      <c r="A22" s="321"/>
      <c r="B22" s="730"/>
      <c r="C22" s="733"/>
      <c r="D22" s="736"/>
      <c r="E22" s="736"/>
      <c r="F22" s="739"/>
      <c r="G22" s="721"/>
      <c r="H22" s="322" t="s">
        <v>702</v>
      </c>
      <c r="I22" s="323"/>
      <c r="J22" s="323"/>
      <c r="K22" s="323"/>
      <c r="L22" s="323"/>
      <c r="M22" s="323"/>
      <c r="N22" s="323"/>
      <c r="O22" s="323"/>
      <c r="P22" s="324"/>
    </row>
    <row r="23" spans="1:16" x14ac:dyDescent="0.25">
      <c r="A23" s="321"/>
      <c r="B23" s="728" t="s">
        <v>53</v>
      </c>
      <c r="C23" s="731"/>
      <c r="D23" s="734"/>
      <c r="E23" s="734"/>
      <c r="F23" s="737"/>
      <c r="G23" s="719"/>
      <c r="H23" s="322" t="s">
        <v>699</v>
      </c>
      <c r="I23" s="323"/>
      <c r="J23" s="323"/>
      <c r="K23" s="323"/>
      <c r="L23" s="323"/>
      <c r="M23" s="323"/>
      <c r="N23" s="323"/>
      <c r="O23" s="323"/>
      <c r="P23" s="324"/>
    </row>
    <row r="24" spans="1:16" x14ac:dyDescent="0.25">
      <c r="A24" s="321"/>
      <c r="B24" s="729"/>
      <c r="C24" s="732"/>
      <c r="D24" s="735"/>
      <c r="E24" s="735"/>
      <c r="F24" s="738"/>
      <c r="G24" s="720"/>
      <c r="H24" s="322" t="s">
        <v>700</v>
      </c>
      <c r="I24" s="323"/>
      <c r="J24" s="323"/>
      <c r="K24" s="323"/>
      <c r="L24" s="323"/>
      <c r="M24" s="323"/>
      <c r="N24" s="323"/>
      <c r="O24" s="323"/>
      <c r="P24" s="324"/>
    </row>
    <row r="25" spans="1:16" x14ac:dyDescent="0.25">
      <c r="A25" s="321"/>
      <c r="B25" s="729"/>
      <c r="C25" s="732"/>
      <c r="D25" s="735"/>
      <c r="E25" s="735"/>
      <c r="F25" s="738"/>
      <c r="G25" s="720"/>
      <c r="H25" s="322" t="s">
        <v>47</v>
      </c>
      <c r="I25" s="323"/>
      <c r="J25" s="323"/>
      <c r="K25" s="323"/>
      <c r="L25" s="323"/>
      <c r="M25" s="323"/>
      <c r="N25" s="323"/>
      <c r="O25" s="323"/>
      <c r="P25" s="324"/>
    </row>
    <row r="26" spans="1:16" x14ac:dyDescent="0.25">
      <c r="A26" s="321"/>
      <c r="B26" s="729"/>
      <c r="C26" s="732"/>
      <c r="D26" s="735"/>
      <c r="E26" s="735"/>
      <c r="F26" s="738"/>
      <c r="G26" s="720"/>
      <c r="H26" s="322" t="s">
        <v>701</v>
      </c>
      <c r="I26" s="323"/>
      <c r="J26" s="323"/>
      <c r="K26" s="323"/>
      <c r="L26" s="323"/>
      <c r="M26" s="323"/>
      <c r="N26" s="323"/>
      <c r="O26" s="323"/>
      <c r="P26" s="324"/>
    </row>
    <row r="27" spans="1:16" x14ac:dyDescent="0.25">
      <c r="A27" s="321"/>
      <c r="B27" s="730"/>
      <c r="C27" s="733"/>
      <c r="D27" s="736"/>
      <c r="E27" s="736"/>
      <c r="F27" s="739"/>
      <c r="G27" s="721"/>
      <c r="H27" s="322" t="s">
        <v>702</v>
      </c>
      <c r="I27" s="323"/>
      <c r="J27" s="323"/>
      <c r="K27" s="323"/>
      <c r="L27" s="323"/>
      <c r="M27" s="323"/>
      <c r="N27" s="323"/>
      <c r="O27" s="323"/>
      <c r="P27" s="324"/>
    </row>
    <row r="28" spans="1:16" x14ac:dyDescent="0.25">
      <c r="A28" s="321"/>
      <c r="B28" s="728" t="s">
        <v>263</v>
      </c>
      <c r="C28" s="731"/>
      <c r="D28" s="734"/>
      <c r="E28" s="734"/>
      <c r="F28" s="737"/>
      <c r="G28" s="719"/>
      <c r="H28" s="322" t="s">
        <v>699</v>
      </c>
      <c r="I28" s="323"/>
      <c r="J28" s="323"/>
      <c r="K28" s="323"/>
      <c r="L28" s="323"/>
      <c r="M28" s="323"/>
      <c r="N28" s="323"/>
      <c r="O28" s="323"/>
      <c r="P28" s="324"/>
    </row>
    <row r="29" spans="1:16" x14ac:dyDescent="0.25">
      <c r="A29" s="321"/>
      <c r="B29" s="729"/>
      <c r="C29" s="732"/>
      <c r="D29" s="735"/>
      <c r="E29" s="735"/>
      <c r="F29" s="738"/>
      <c r="G29" s="720"/>
      <c r="H29" s="322" t="s">
        <v>700</v>
      </c>
      <c r="I29" s="323"/>
      <c r="J29" s="323"/>
      <c r="K29" s="323"/>
      <c r="L29" s="323"/>
      <c r="M29" s="323"/>
      <c r="N29" s="323"/>
      <c r="O29" s="323"/>
      <c r="P29" s="324"/>
    </row>
    <row r="30" spans="1:16" x14ac:dyDescent="0.25">
      <c r="A30" s="321"/>
      <c r="B30" s="729"/>
      <c r="C30" s="732"/>
      <c r="D30" s="735"/>
      <c r="E30" s="735"/>
      <c r="F30" s="738"/>
      <c r="G30" s="720"/>
      <c r="H30" s="322" t="s">
        <v>47</v>
      </c>
      <c r="I30" s="323"/>
      <c r="J30" s="323"/>
      <c r="K30" s="323"/>
      <c r="L30" s="323"/>
      <c r="M30" s="323"/>
      <c r="N30" s="323"/>
      <c r="O30" s="323"/>
      <c r="P30" s="324"/>
    </row>
    <row r="31" spans="1:16" x14ac:dyDescent="0.25">
      <c r="A31" s="321"/>
      <c r="B31" s="729"/>
      <c r="C31" s="732"/>
      <c r="D31" s="735"/>
      <c r="E31" s="735"/>
      <c r="F31" s="738"/>
      <c r="G31" s="720"/>
      <c r="H31" s="322" t="s">
        <v>701</v>
      </c>
      <c r="I31" s="323"/>
      <c r="J31" s="323"/>
      <c r="K31" s="323"/>
      <c r="L31" s="323"/>
      <c r="M31" s="323"/>
      <c r="N31" s="323"/>
      <c r="O31" s="323"/>
      <c r="P31" s="324"/>
    </row>
    <row r="32" spans="1:16" ht="16.5" thickBot="1" x14ac:dyDescent="0.3">
      <c r="A32" s="321"/>
      <c r="B32" s="730"/>
      <c r="C32" s="733"/>
      <c r="D32" s="736"/>
      <c r="E32" s="736"/>
      <c r="F32" s="739"/>
      <c r="G32" s="720"/>
      <c r="H32" s="368" t="s">
        <v>702</v>
      </c>
      <c r="I32" s="323"/>
      <c r="J32" s="323"/>
      <c r="K32" s="323"/>
      <c r="L32" s="323"/>
      <c r="M32" s="323"/>
      <c r="N32" s="323"/>
      <c r="O32" s="323"/>
      <c r="P32" s="325"/>
    </row>
    <row r="33" spans="2:16" ht="26.25" customHeight="1" thickBot="1" x14ac:dyDescent="0.3">
      <c r="B33" s="740" t="s">
        <v>703</v>
      </c>
      <c r="C33" s="741"/>
      <c r="D33" s="741"/>
      <c r="E33" s="742"/>
      <c r="F33" s="366"/>
      <c r="G33" s="369"/>
      <c r="H33" s="370"/>
      <c r="I33" s="367"/>
      <c r="J33" s="326"/>
      <c r="K33" s="326"/>
      <c r="L33" s="326"/>
      <c r="M33" s="326"/>
      <c r="N33" s="326"/>
      <c r="O33" s="326"/>
      <c r="P33" s="326"/>
    </row>
    <row r="35" spans="2:16" x14ac:dyDescent="0.25">
      <c r="B35" s="316" t="s">
        <v>704</v>
      </c>
    </row>
    <row r="36" spans="2:16" x14ac:dyDescent="0.25">
      <c r="B36" s="316" t="s">
        <v>705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workbookViewId="0">
      <selection activeCell="I29" sqref="I29"/>
    </sheetView>
  </sheetViews>
  <sheetFormatPr defaultColWidth="9.140625" defaultRowHeight="12.75" x14ac:dyDescent="0.2"/>
  <cols>
    <col min="1" max="1" width="1.5703125" style="42" customWidth="1"/>
    <col min="2" max="2" width="39.140625" style="42" customWidth="1"/>
    <col min="3" max="6" width="20.7109375" style="42" customWidth="1"/>
    <col min="7" max="16384" width="9.140625" style="42"/>
  </cols>
  <sheetData>
    <row r="1" spans="2:6" ht="15.75" x14ac:dyDescent="0.25">
      <c r="F1" s="177" t="s">
        <v>207</v>
      </c>
    </row>
    <row r="2" spans="2:6" ht="15.75" customHeight="1" x14ac:dyDescent="0.25">
      <c r="B2" s="568" t="s">
        <v>678</v>
      </c>
      <c r="C2" s="568"/>
      <c r="D2" s="568"/>
      <c r="E2" s="568"/>
      <c r="F2" s="568"/>
    </row>
    <row r="3" spans="2:6" ht="40.5" customHeight="1" x14ac:dyDescent="0.2">
      <c r="B3" s="57"/>
      <c r="C3" s="57"/>
      <c r="D3" s="57"/>
      <c r="E3" s="57"/>
      <c r="F3" s="57"/>
    </row>
    <row r="4" spans="2:6" ht="15.75" x14ac:dyDescent="0.25">
      <c r="B4" s="568" t="s">
        <v>750</v>
      </c>
      <c r="C4" s="568"/>
      <c r="D4" s="568"/>
      <c r="E4" s="568"/>
      <c r="F4" s="568"/>
    </row>
    <row r="5" spans="2:6" ht="13.5" thickBot="1" x14ac:dyDescent="0.25">
      <c r="F5" s="43" t="s">
        <v>2</v>
      </c>
    </row>
    <row r="6" spans="2:6" ht="36" customHeight="1" thickBot="1" x14ac:dyDescent="0.25">
      <c r="B6" s="327" t="s">
        <v>266</v>
      </c>
      <c r="C6" s="181" t="s">
        <v>751</v>
      </c>
      <c r="D6" s="181" t="s">
        <v>752</v>
      </c>
      <c r="E6" s="181" t="s">
        <v>753</v>
      </c>
      <c r="F6" s="181" t="s">
        <v>754</v>
      </c>
    </row>
    <row r="7" spans="2:6" ht="30" customHeight="1" x14ac:dyDescent="0.2">
      <c r="B7" s="328" t="s">
        <v>232</v>
      </c>
      <c r="C7" s="329">
        <v>160162906</v>
      </c>
      <c r="D7" s="329">
        <v>109626720</v>
      </c>
      <c r="E7" s="329">
        <v>113096897</v>
      </c>
      <c r="F7" s="329">
        <v>138151826</v>
      </c>
    </row>
    <row r="8" spans="2:6" ht="30" customHeight="1" x14ac:dyDescent="0.2">
      <c r="B8" s="328" t="s">
        <v>267</v>
      </c>
      <c r="C8" s="330">
        <v>19006819</v>
      </c>
      <c r="D8" s="331">
        <v>40943888</v>
      </c>
      <c r="E8" s="331">
        <v>44298647</v>
      </c>
      <c r="F8" s="331">
        <v>26689039</v>
      </c>
    </row>
    <row r="9" spans="2:6" ht="30" customHeight="1" thickBot="1" x14ac:dyDescent="0.25">
      <c r="B9" s="332" t="s">
        <v>233</v>
      </c>
      <c r="C9" s="333">
        <v>25913740</v>
      </c>
      <c r="D9" s="333">
        <v>24485534</v>
      </c>
      <c r="E9" s="333">
        <v>27530004</v>
      </c>
      <c r="F9" s="333">
        <v>30306445</v>
      </c>
    </row>
    <row r="10" spans="2:6" ht="13.5" customHeight="1" thickTop="1" x14ac:dyDescent="0.2">
      <c r="B10" s="761" t="s">
        <v>259</v>
      </c>
      <c r="C10" s="765">
        <f>SUM(C7:C9)</f>
        <v>205083465</v>
      </c>
      <c r="D10" s="765">
        <f t="shared" ref="D10:F10" si="0">SUM(D7:D9)</f>
        <v>175056142</v>
      </c>
      <c r="E10" s="765">
        <f t="shared" si="0"/>
        <v>184925548</v>
      </c>
      <c r="F10" s="765">
        <f t="shared" si="0"/>
        <v>195147310</v>
      </c>
    </row>
    <row r="11" spans="2:6" ht="15" customHeight="1" thickBot="1" x14ac:dyDescent="0.25">
      <c r="B11" s="762"/>
      <c r="C11" s="764"/>
      <c r="D11" s="764"/>
      <c r="E11" s="764"/>
      <c r="F11" s="764"/>
    </row>
    <row r="12" spans="2:6" x14ac:dyDescent="0.2">
      <c r="B12" s="334" t="s">
        <v>574</v>
      </c>
    </row>
    <row r="13" spans="2:6" x14ac:dyDescent="0.2">
      <c r="B13" s="57"/>
    </row>
    <row r="14" spans="2:6" ht="15.75" x14ac:dyDescent="0.25">
      <c r="B14" s="568" t="s">
        <v>755</v>
      </c>
      <c r="C14" s="568"/>
      <c r="D14" s="568"/>
      <c r="E14" s="568"/>
      <c r="F14" s="568"/>
    </row>
    <row r="15" spans="2:6" ht="13.5" thickBot="1" x14ac:dyDescent="0.25">
      <c r="F15" s="43" t="s">
        <v>2</v>
      </c>
    </row>
    <row r="16" spans="2:6" ht="36" customHeight="1" thickBot="1" x14ac:dyDescent="0.25">
      <c r="B16" s="327" t="s">
        <v>268</v>
      </c>
      <c r="C16" s="181" t="s">
        <v>751</v>
      </c>
      <c r="D16" s="181" t="s">
        <v>752</v>
      </c>
      <c r="E16" s="181" t="s">
        <v>753</v>
      </c>
      <c r="F16" s="181" t="s">
        <v>756</v>
      </c>
    </row>
    <row r="17" spans="1:7" ht="30" customHeight="1" x14ac:dyDescent="0.2">
      <c r="B17" s="328" t="s">
        <v>232</v>
      </c>
      <c r="C17" s="329">
        <v>38896761</v>
      </c>
      <c r="D17" s="329">
        <v>19923754</v>
      </c>
      <c r="E17" s="329">
        <v>21645247</v>
      </c>
      <c r="F17" s="329">
        <v>25881608</v>
      </c>
    </row>
    <row r="18" spans="1:7" ht="30" customHeight="1" x14ac:dyDescent="0.2">
      <c r="B18" s="328" t="s">
        <v>267</v>
      </c>
      <c r="C18" s="335">
        <v>4022</v>
      </c>
      <c r="D18" s="335">
        <v>2333</v>
      </c>
      <c r="E18" s="335">
        <v>1973</v>
      </c>
      <c r="F18" s="335">
        <v>1003006</v>
      </c>
    </row>
    <row r="19" spans="1:7" ht="30" customHeight="1" thickBot="1" x14ac:dyDescent="0.25">
      <c r="B19" s="332" t="s">
        <v>233</v>
      </c>
      <c r="C19" s="333">
        <v>225639</v>
      </c>
      <c r="D19" s="333">
        <v>227439</v>
      </c>
      <c r="E19" s="333">
        <v>227799</v>
      </c>
      <c r="F19" s="333">
        <v>20760</v>
      </c>
    </row>
    <row r="20" spans="1:7" ht="13.5" customHeight="1" thickTop="1" x14ac:dyDescent="0.2">
      <c r="B20" s="761" t="s">
        <v>259</v>
      </c>
      <c r="C20" s="763">
        <f>SUM(C17:C19)</f>
        <v>39126422</v>
      </c>
      <c r="D20" s="763">
        <f t="shared" ref="D20:F20" si="1">SUM(D17:D19)</f>
        <v>20153526</v>
      </c>
      <c r="E20" s="763">
        <f t="shared" si="1"/>
        <v>21875019</v>
      </c>
      <c r="F20" s="763">
        <f t="shared" si="1"/>
        <v>26905374</v>
      </c>
    </row>
    <row r="21" spans="1:7" ht="15" customHeight="1" thickBot="1" x14ac:dyDescent="0.25">
      <c r="B21" s="762"/>
      <c r="C21" s="764"/>
      <c r="D21" s="764"/>
      <c r="E21" s="764"/>
      <c r="F21" s="764"/>
    </row>
    <row r="22" spans="1:7" ht="15" customHeight="1" x14ac:dyDescent="0.2">
      <c r="B22" s="334" t="s">
        <v>574</v>
      </c>
      <c r="C22" s="27"/>
      <c r="D22" s="27"/>
      <c r="E22" s="27"/>
      <c r="F22" s="27"/>
    </row>
    <row r="23" spans="1:7" ht="10.5" customHeight="1" x14ac:dyDescent="0.2">
      <c r="B23" s="19"/>
      <c r="C23" s="27"/>
      <c r="D23" s="27"/>
      <c r="E23" s="27"/>
      <c r="F23" s="27"/>
    </row>
    <row r="24" spans="1:7" ht="15" customHeight="1" x14ac:dyDescent="0.2">
      <c r="B24" s="750" t="s">
        <v>706</v>
      </c>
      <c r="C24" s="750"/>
      <c r="D24" s="750"/>
      <c r="E24" s="750"/>
      <c r="F24" s="750"/>
    </row>
    <row r="25" spans="1:7" ht="13.5" thickBot="1" x14ac:dyDescent="0.25">
      <c r="B25" s="57"/>
      <c r="E25" s="210"/>
      <c r="F25" s="43" t="s">
        <v>2</v>
      </c>
    </row>
    <row r="26" spans="1:7" ht="48" customHeight="1" thickBot="1" x14ac:dyDescent="0.25">
      <c r="B26" s="28"/>
      <c r="C26" s="336" t="s">
        <v>713</v>
      </c>
      <c r="D26" s="337" t="s">
        <v>708</v>
      </c>
      <c r="E26" s="338" t="s">
        <v>712</v>
      </c>
      <c r="F26" s="183" t="s">
        <v>708</v>
      </c>
    </row>
    <row r="27" spans="1:7" ht="34.5" customHeight="1" thickBot="1" x14ac:dyDescent="0.25">
      <c r="A27" s="56"/>
      <c r="B27" s="339" t="s">
        <v>757</v>
      </c>
      <c r="C27" s="340">
        <v>103</v>
      </c>
      <c r="D27" s="341">
        <v>2484270</v>
      </c>
      <c r="E27" s="342">
        <v>0</v>
      </c>
      <c r="F27" s="340">
        <v>0</v>
      </c>
    </row>
    <row r="28" spans="1:7" x14ac:dyDescent="0.2">
      <c r="B28" s="57" t="s">
        <v>574</v>
      </c>
    </row>
    <row r="29" spans="1:7" ht="13.5" thickBot="1" x14ac:dyDescent="0.25">
      <c r="B29" s="343"/>
      <c r="C29" s="343"/>
      <c r="D29" s="343"/>
      <c r="E29" s="343"/>
      <c r="F29" s="43" t="s">
        <v>2</v>
      </c>
      <c r="G29" s="57"/>
    </row>
    <row r="30" spans="1:7" ht="36.75" customHeight="1" thickBot="1" x14ac:dyDescent="0.25">
      <c r="B30" s="751" t="s">
        <v>707</v>
      </c>
      <c r="C30" s="677"/>
      <c r="D30" s="677"/>
      <c r="E30" s="678"/>
      <c r="F30" s="344" t="s">
        <v>709</v>
      </c>
      <c r="G30" s="25"/>
    </row>
    <row r="31" spans="1:7" ht="40.5" customHeight="1" x14ac:dyDescent="0.2">
      <c r="B31" s="752"/>
      <c r="C31" s="753"/>
      <c r="D31" s="753"/>
      <c r="E31" s="754"/>
      <c r="F31" s="421"/>
      <c r="G31" s="57"/>
    </row>
    <row r="32" spans="1:7" ht="40.5" customHeight="1" x14ac:dyDescent="0.2">
      <c r="B32" s="755"/>
      <c r="C32" s="756"/>
      <c r="D32" s="756"/>
      <c r="E32" s="757"/>
      <c r="F32" s="345"/>
      <c r="G32" s="57"/>
    </row>
    <row r="33" spans="2:7" ht="40.5" customHeight="1" x14ac:dyDescent="0.2">
      <c r="B33" s="758"/>
      <c r="C33" s="759"/>
      <c r="D33" s="759"/>
      <c r="E33" s="760"/>
      <c r="F33" s="345"/>
      <c r="G33" s="57"/>
    </row>
    <row r="34" spans="2:7" ht="40.5" customHeight="1" x14ac:dyDescent="0.2">
      <c r="B34" s="744"/>
      <c r="C34" s="745"/>
      <c r="D34" s="745"/>
      <c r="E34" s="746"/>
      <c r="F34" s="345"/>
      <c r="G34" s="57"/>
    </row>
    <row r="35" spans="2:7" ht="40.5" customHeight="1" x14ac:dyDescent="0.2">
      <c r="B35" s="744"/>
      <c r="C35" s="745"/>
      <c r="D35" s="745"/>
      <c r="E35" s="746"/>
      <c r="F35" s="345"/>
      <c r="G35" s="57"/>
    </row>
    <row r="36" spans="2:7" ht="40.5" customHeight="1" x14ac:dyDescent="0.2">
      <c r="B36" s="744"/>
      <c r="C36" s="745"/>
      <c r="D36" s="745"/>
      <c r="E36" s="746"/>
      <c r="F36" s="345"/>
      <c r="G36" s="57"/>
    </row>
    <row r="37" spans="2:7" ht="40.5" customHeight="1" x14ac:dyDescent="0.2">
      <c r="B37" s="744"/>
      <c r="C37" s="745"/>
      <c r="D37" s="745"/>
      <c r="E37" s="746"/>
      <c r="F37" s="345"/>
      <c r="G37" s="57"/>
    </row>
    <row r="38" spans="2:7" ht="40.5" customHeight="1" thickBot="1" x14ac:dyDescent="0.25">
      <c r="B38" s="747"/>
      <c r="C38" s="748"/>
      <c r="D38" s="748"/>
      <c r="E38" s="749"/>
      <c r="F38" s="346"/>
      <c r="G38" s="57"/>
    </row>
    <row r="39" spans="2:7" ht="3" customHeight="1" x14ac:dyDescent="0.2">
      <c r="F39" s="57"/>
      <c r="G39" s="57"/>
    </row>
    <row r="40" spans="2:7" ht="12.75" customHeight="1" x14ac:dyDescent="0.2">
      <c r="B40" s="743" t="s">
        <v>711</v>
      </c>
      <c r="C40" s="743"/>
      <c r="D40" s="743"/>
      <c r="E40" s="743"/>
      <c r="F40" s="743"/>
      <c r="G40" s="57"/>
    </row>
    <row r="41" spans="2:7" ht="26.25" customHeight="1" x14ac:dyDescent="0.2">
      <c r="B41" s="743"/>
      <c r="C41" s="743"/>
      <c r="D41" s="743"/>
      <c r="E41" s="743"/>
      <c r="F41" s="743"/>
      <c r="G41" s="57"/>
    </row>
    <row r="42" spans="2:7" ht="15" x14ac:dyDescent="0.25">
      <c r="B42" s="347" t="s">
        <v>710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76" zoomScaleNormal="100" workbookViewId="0">
      <selection activeCell="C99" sqref="C99:C101"/>
    </sheetView>
  </sheetViews>
  <sheetFormatPr defaultRowHeight="15.75" x14ac:dyDescent="0.2"/>
  <cols>
    <col min="1" max="1" width="1.5703125" style="376" customWidth="1"/>
    <col min="2" max="2" width="21.7109375" style="376" customWidth="1"/>
    <col min="3" max="3" width="45.7109375" style="376" customWidth="1"/>
    <col min="4" max="4" width="7.5703125" style="376" customWidth="1"/>
    <col min="5" max="8" width="18.28515625" style="40" customWidth="1"/>
    <col min="9" max="9" width="16.5703125" style="376" customWidth="1"/>
    <col min="10" max="256" width="9.140625" style="376"/>
    <col min="257" max="257" width="2.7109375" style="376" customWidth="1"/>
    <col min="258" max="258" width="21.7109375" style="376" customWidth="1"/>
    <col min="259" max="259" width="45.7109375" style="376" customWidth="1"/>
    <col min="260" max="260" width="7.5703125" style="376" customWidth="1"/>
    <col min="261" max="264" width="15.7109375" style="376" customWidth="1"/>
    <col min="265" max="512" width="9.140625" style="376"/>
    <col min="513" max="513" width="2.7109375" style="376" customWidth="1"/>
    <col min="514" max="514" width="21.7109375" style="376" customWidth="1"/>
    <col min="515" max="515" width="45.7109375" style="376" customWidth="1"/>
    <col min="516" max="516" width="7.5703125" style="376" customWidth="1"/>
    <col min="517" max="520" width="15.7109375" style="376" customWidth="1"/>
    <col min="521" max="768" width="9.140625" style="376"/>
    <col min="769" max="769" width="2.7109375" style="376" customWidth="1"/>
    <col min="770" max="770" width="21.7109375" style="376" customWidth="1"/>
    <col min="771" max="771" width="45.7109375" style="376" customWidth="1"/>
    <col min="772" max="772" width="7.5703125" style="376" customWidth="1"/>
    <col min="773" max="776" width="15.7109375" style="376" customWidth="1"/>
    <col min="777" max="1024" width="9.140625" style="376"/>
    <col min="1025" max="1025" width="2.7109375" style="376" customWidth="1"/>
    <col min="1026" max="1026" width="21.7109375" style="376" customWidth="1"/>
    <col min="1027" max="1027" width="45.7109375" style="376" customWidth="1"/>
    <col min="1028" max="1028" width="7.5703125" style="376" customWidth="1"/>
    <col min="1029" max="1032" width="15.7109375" style="376" customWidth="1"/>
    <col min="1033" max="1280" width="9.140625" style="376"/>
    <col min="1281" max="1281" width="2.7109375" style="376" customWidth="1"/>
    <col min="1282" max="1282" width="21.7109375" style="376" customWidth="1"/>
    <col min="1283" max="1283" width="45.7109375" style="376" customWidth="1"/>
    <col min="1284" max="1284" width="7.5703125" style="376" customWidth="1"/>
    <col min="1285" max="1288" width="15.7109375" style="376" customWidth="1"/>
    <col min="1289" max="1536" width="9.140625" style="376"/>
    <col min="1537" max="1537" width="2.7109375" style="376" customWidth="1"/>
    <col min="1538" max="1538" width="21.7109375" style="376" customWidth="1"/>
    <col min="1539" max="1539" width="45.7109375" style="376" customWidth="1"/>
    <col min="1540" max="1540" width="7.5703125" style="376" customWidth="1"/>
    <col min="1541" max="1544" width="15.7109375" style="376" customWidth="1"/>
    <col min="1545" max="1792" width="9.140625" style="376"/>
    <col min="1793" max="1793" width="2.7109375" style="376" customWidth="1"/>
    <col min="1794" max="1794" width="21.7109375" style="376" customWidth="1"/>
    <col min="1795" max="1795" width="45.7109375" style="376" customWidth="1"/>
    <col min="1796" max="1796" width="7.5703125" style="376" customWidth="1"/>
    <col min="1797" max="1800" width="15.7109375" style="376" customWidth="1"/>
    <col min="1801" max="2048" width="9.140625" style="376"/>
    <col min="2049" max="2049" width="2.7109375" style="376" customWidth="1"/>
    <col min="2050" max="2050" width="21.7109375" style="376" customWidth="1"/>
    <col min="2051" max="2051" width="45.7109375" style="376" customWidth="1"/>
    <col min="2052" max="2052" width="7.5703125" style="376" customWidth="1"/>
    <col min="2053" max="2056" width="15.7109375" style="376" customWidth="1"/>
    <col min="2057" max="2304" width="9.140625" style="376"/>
    <col min="2305" max="2305" width="2.7109375" style="376" customWidth="1"/>
    <col min="2306" max="2306" width="21.7109375" style="376" customWidth="1"/>
    <col min="2307" max="2307" width="45.7109375" style="376" customWidth="1"/>
    <col min="2308" max="2308" width="7.5703125" style="376" customWidth="1"/>
    <col min="2309" max="2312" width="15.7109375" style="376" customWidth="1"/>
    <col min="2313" max="2560" width="9.140625" style="376"/>
    <col min="2561" max="2561" width="2.7109375" style="376" customWidth="1"/>
    <col min="2562" max="2562" width="21.7109375" style="376" customWidth="1"/>
    <col min="2563" max="2563" width="45.7109375" style="376" customWidth="1"/>
    <col min="2564" max="2564" width="7.5703125" style="376" customWidth="1"/>
    <col min="2565" max="2568" width="15.7109375" style="376" customWidth="1"/>
    <col min="2569" max="2816" width="9.140625" style="376"/>
    <col min="2817" max="2817" width="2.7109375" style="376" customWidth="1"/>
    <col min="2818" max="2818" width="21.7109375" style="376" customWidth="1"/>
    <col min="2819" max="2819" width="45.7109375" style="376" customWidth="1"/>
    <col min="2820" max="2820" width="7.5703125" style="376" customWidth="1"/>
    <col min="2821" max="2824" width="15.7109375" style="376" customWidth="1"/>
    <col min="2825" max="3072" width="9.140625" style="376"/>
    <col min="3073" max="3073" width="2.7109375" style="376" customWidth="1"/>
    <col min="3074" max="3074" width="21.7109375" style="376" customWidth="1"/>
    <col min="3075" max="3075" width="45.7109375" style="376" customWidth="1"/>
    <col min="3076" max="3076" width="7.5703125" style="376" customWidth="1"/>
    <col min="3077" max="3080" width="15.7109375" style="376" customWidth="1"/>
    <col min="3081" max="3328" width="9.140625" style="376"/>
    <col min="3329" max="3329" width="2.7109375" style="376" customWidth="1"/>
    <col min="3330" max="3330" width="21.7109375" style="376" customWidth="1"/>
    <col min="3331" max="3331" width="45.7109375" style="376" customWidth="1"/>
    <col min="3332" max="3332" width="7.5703125" style="376" customWidth="1"/>
    <col min="3333" max="3336" width="15.7109375" style="376" customWidth="1"/>
    <col min="3337" max="3584" width="9.140625" style="376"/>
    <col min="3585" max="3585" width="2.7109375" style="376" customWidth="1"/>
    <col min="3586" max="3586" width="21.7109375" style="376" customWidth="1"/>
    <col min="3587" max="3587" width="45.7109375" style="376" customWidth="1"/>
    <col min="3588" max="3588" width="7.5703125" style="376" customWidth="1"/>
    <col min="3589" max="3592" width="15.7109375" style="376" customWidth="1"/>
    <col min="3593" max="3840" width="9.140625" style="376"/>
    <col min="3841" max="3841" width="2.7109375" style="376" customWidth="1"/>
    <col min="3842" max="3842" width="21.7109375" style="376" customWidth="1"/>
    <col min="3843" max="3843" width="45.7109375" style="376" customWidth="1"/>
    <col min="3844" max="3844" width="7.5703125" style="376" customWidth="1"/>
    <col min="3845" max="3848" width="15.7109375" style="376" customWidth="1"/>
    <col min="3849" max="4096" width="9.140625" style="376"/>
    <col min="4097" max="4097" width="2.7109375" style="376" customWidth="1"/>
    <col min="4098" max="4098" width="21.7109375" style="376" customWidth="1"/>
    <col min="4099" max="4099" width="45.7109375" style="376" customWidth="1"/>
    <col min="4100" max="4100" width="7.5703125" style="376" customWidth="1"/>
    <col min="4101" max="4104" width="15.7109375" style="376" customWidth="1"/>
    <col min="4105" max="4352" width="9.140625" style="376"/>
    <col min="4353" max="4353" width="2.7109375" style="376" customWidth="1"/>
    <col min="4354" max="4354" width="21.7109375" style="376" customWidth="1"/>
    <col min="4355" max="4355" width="45.7109375" style="376" customWidth="1"/>
    <col min="4356" max="4356" width="7.5703125" style="376" customWidth="1"/>
    <col min="4357" max="4360" width="15.7109375" style="376" customWidth="1"/>
    <col min="4361" max="4608" width="9.140625" style="376"/>
    <col min="4609" max="4609" width="2.7109375" style="376" customWidth="1"/>
    <col min="4610" max="4610" width="21.7109375" style="376" customWidth="1"/>
    <col min="4611" max="4611" width="45.7109375" style="376" customWidth="1"/>
    <col min="4612" max="4612" width="7.5703125" style="376" customWidth="1"/>
    <col min="4613" max="4616" width="15.7109375" style="376" customWidth="1"/>
    <col min="4617" max="4864" width="9.140625" style="376"/>
    <col min="4865" max="4865" width="2.7109375" style="376" customWidth="1"/>
    <col min="4866" max="4866" width="21.7109375" style="376" customWidth="1"/>
    <col min="4867" max="4867" width="45.7109375" style="376" customWidth="1"/>
    <col min="4868" max="4868" width="7.5703125" style="376" customWidth="1"/>
    <col min="4869" max="4872" width="15.7109375" style="376" customWidth="1"/>
    <col min="4873" max="5120" width="9.140625" style="376"/>
    <col min="5121" max="5121" width="2.7109375" style="376" customWidth="1"/>
    <col min="5122" max="5122" width="21.7109375" style="376" customWidth="1"/>
    <col min="5123" max="5123" width="45.7109375" style="376" customWidth="1"/>
    <col min="5124" max="5124" width="7.5703125" style="376" customWidth="1"/>
    <col min="5125" max="5128" width="15.7109375" style="376" customWidth="1"/>
    <col min="5129" max="5376" width="9.140625" style="376"/>
    <col min="5377" max="5377" width="2.7109375" style="376" customWidth="1"/>
    <col min="5378" max="5378" width="21.7109375" style="376" customWidth="1"/>
    <col min="5379" max="5379" width="45.7109375" style="376" customWidth="1"/>
    <col min="5380" max="5380" width="7.5703125" style="376" customWidth="1"/>
    <col min="5381" max="5384" width="15.7109375" style="376" customWidth="1"/>
    <col min="5385" max="5632" width="9.140625" style="376"/>
    <col min="5633" max="5633" width="2.7109375" style="376" customWidth="1"/>
    <col min="5634" max="5634" width="21.7109375" style="376" customWidth="1"/>
    <col min="5635" max="5635" width="45.7109375" style="376" customWidth="1"/>
    <col min="5636" max="5636" width="7.5703125" style="376" customWidth="1"/>
    <col min="5637" max="5640" width="15.7109375" style="376" customWidth="1"/>
    <col min="5641" max="5888" width="9.140625" style="376"/>
    <col min="5889" max="5889" width="2.7109375" style="376" customWidth="1"/>
    <col min="5890" max="5890" width="21.7109375" style="376" customWidth="1"/>
    <col min="5891" max="5891" width="45.7109375" style="376" customWidth="1"/>
    <col min="5892" max="5892" width="7.5703125" style="376" customWidth="1"/>
    <col min="5893" max="5896" width="15.7109375" style="376" customWidth="1"/>
    <col min="5897" max="6144" width="9.140625" style="376"/>
    <col min="6145" max="6145" width="2.7109375" style="376" customWidth="1"/>
    <col min="6146" max="6146" width="21.7109375" style="376" customWidth="1"/>
    <col min="6147" max="6147" width="45.7109375" style="376" customWidth="1"/>
    <col min="6148" max="6148" width="7.5703125" style="376" customWidth="1"/>
    <col min="6149" max="6152" width="15.7109375" style="376" customWidth="1"/>
    <col min="6153" max="6400" width="9.140625" style="376"/>
    <col min="6401" max="6401" width="2.7109375" style="376" customWidth="1"/>
    <col min="6402" max="6402" width="21.7109375" style="376" customWidth="1"/>
    <col min="6403" max="6403" width="45.7109375" style="376" customWidth="1"/>
    <col min="6404" max="6404" width="7.5703125" style="376" customWidth="1"/>
    <col min="6405" max="6408" width="15.7109375" style="376" customWidth="1"/>
    <col min="6409" max="6656" width="9.140625" style="376"/>
    <col min="6657" max="6657" width="2.7109375" style="376" customWidth="1"/>
    <col min="6658" max="6658" width="21.7109375" style="376" customWidth="1"/>
    <col min="6659" max="6659" width="45.7109375" style="376" customWidth="1"/>
    <col min="6660" max="6660" width="7.5703125" style="376" customWidth="1"/>
    <col min="6661" max="6664" width="15.7109375" style="376" customWidth="1"/>
    <col min="6665" max="6912" width="9.140625" style="376"/>
    <col min="6913" max="6913" width="2.7109375" style="376" customWidth="1"/>
    <col min="6914" max="6914" width="21.7109375" style="376" customWidth="1"/>
    <col min="6915" max="6915" width="45.7109375" style="376" customWidth="1"/>
    <col min="6916" max="6916" width="7.5703125" style="376" customWidth="1"/>
    <col min="6917" max="6920" width="15.7109375" style="376" customWidth="1"/>
    <col min="6921" max="7168" width="9.140625" style="376"/>
    <col min="7169" max="7169" width="2.7109375" style="376" customWidth="1"/>
    <col min="7170" max="7170" width="21.7109375" style="376" customWidth="1"/>
    <col min="7171" max="7171" width="45.7109375" style="376" customWidth="1"/>
    <col min="7172" max="7172" width="7.5703125" style="376" customWidth="1"/>
    <col min="7173" max="7176" width="15.7109375" style="376" customWidth="1"/>
    <col min="7177" max="7424" width="9.140625" style="376"/>
    <col min="7425" max="7425" width="2.7109375" style="376" customWidth="1"/>
    <col min="7426" max="7426" width="21.7109375" style="376" customWidth="1"/>
    <col min="7427" max="7427" width="45.7109375" style="376" customWidth="1"/>
    <col min="7428" max="7428" width="7.5703125" style="376" customWidth="1"/>
    <col min="7429" max="7432" width="15.7109375" style="376" customWidth="1"/>
    <col min="7433" max="7680" width="9.140625" style="376"/>
    <col min="7681" max="7681" width="2.7109375" style="376" customWidth="1"/>
    <col min="7682" max="7682" width="21.7109375" style="376" customWidth="1"/>
    <col min="7683" max="7683" width="45.7109375" style="376" customWidth="1"/>
    <col min="7684" max="7684" width="7.5703125" style="376" customWidth="1"/>
    <col min="7685" max="7688" width="15.7109375" style="376" customWidth="1"/>
    <col min="7689" max="7936" width="9.140625" style="376"/>
    <col min="7937" max="7937" width="2.7109375" style="376" customWidth="1"/>
    <col min="7938" max="7938" width="21.7109375" style="376" customWidth="1"/>
    <col min="7939" max="7939" width="45.7109375" style="376" customWidth="1"/>
    <col min="7940" max="7940" width="7.5703125" style="376" customWidth="1"/>
    <col min="7941" max="7944" width="15.7109375" style="376" customWidth="1"/>
    <col min="7945" max="8192" width="9.140625" style="376"/>
    <col min="8193" max="8193" width="2.7109375" style="376" customWidth="1"/>
    <col min="8194" max="8194" width="21.7109375" style="376" customWidth="1"/>
    <col min="8195" max="8195" width="45.7109375" style="376" customWidth="1"/>
    <col min="8196" max="8196" width="7.5703125" style="376" customWidth="1"/>
    <col min="8197" max="8200" width="15.7109375" style="376" customWidth="1"/>
    <col min="8201" max="8448" width="9.140625" style="376"/>
    <col min="8449" max="8449" width="2.7109375" style="376" customWidth="1"/>
    <col min="8450" max="8450" width="21.7109375" style="376" customWidth="1"/>
    <col min="8451" max="8451" width="45.7109375" style="376" customWidth="1"/>
    <col min="8452" max="8452" width="7.5703125" style="376" customWidth="1"/>
    <col min="8453" max="8456" width="15.7109375" style="376" customWidth="1"/>
    <col min="8457" max="8704" width="9.140625" style="376"/>
    <col min="8705" max="8705" width="2.7109375" style="376" customWidth="1"/>
    <col min="8706" max="8706" width="21.7109375" style="376" customWidth="1"/>
    <col min="8707" max="8707" width="45.7109375" style="376" customWidth="1"/>
    <col min="8708" max="8708" width="7.5703125" style="376" customWidth="1"/>
    <col min="8709" max="8712" width="15.7109375" style="376" customWidth="1"/>
    <col min="8713" max="8960" width="9.140625" style="376"/>
    <col min="8961" max="8961" width="2.7109375" style="376" customWidth="1"/>
    <col min="8962" max="8962" width="21.7109375" style="376" customWidth="1"/>
    <col min="8963" max="8963" width="45.7109375" style="376" customWidth="1"/>
    <col min="8964" max="8964" width="7.5703125" style="376" customWidth="1"/>
    <col min="8965" max="8968" width="15.7109375" style="376" customWidth="1"/>
    <col min="8969" max="9216" width="9.140625" style="376"/>
    <col min="9217" max="9217" width="2.7109375" style="376" customWidth="1"/>
    <col min="9218" max="9218" width="21.7109375" style="376" customWidth="1"/>
    <col min="9219" max="9219" width="45.7109375" style="376" customWidth="1"/>
    <col min="9220" max="9220" width="7.5703125" style="376" customWidth="1"/>
    <col min="9221" max="9224" width="15.7109375" style="376" customWidth="1"/>
    <col min="9225" max="9472" width="9.140625" style="376"/>
    <col min="9473" max="9473" width="2.7109375" style="376" customWidth="1"/>
    <col min="9474" max="9474" width="21.7109375" style="376" customWidth="1"/>
    <col min="9475" max="9475" width="45.7109375" style="376" customWidth="1"/>
    <col min="9476" max="9476" width="7.5703125" style="376" customWidth="1"/>
    <col min="9477" max="9480" width="15.7109375" style="376" customWidth="1"/>
    <col min="9481" max="9728" width="9.140625" style="376"/>
    <col min="9729" max="9729" width="2.7109375" style="376" customWidth="1"/>
    <col min="9730" max="9730" width="21.7109375" style="376" customWidth="1"/>
    <col min="9731" max="9731" width="45.7109375" style="376" customWidth="1"/>
    <col min="9732" max="9732" width="7.5703125" style="376" customWidth="1"/>
    <col min="9733" max="9736" width="15.7109375" style="376" customWidth="1"/>
    <col min="9737" max="9984" width="9.140625" style="376"/>
    <col min="9985" max="9985" width="2.7109375" style="376" customWidth="1"/>
    <col min="9986" max="9986" width="21.7109375" style="376" customWidth="1"/>
    <col min="9987" max="9987" width="45.7109375" style="376" customWidth="1"/>
    <col min="9988" max="9988" width="7.5703125" style="376" customWidth="1"/>
    <col min="9989" max="9992" width="15.7109375" style="376" customWidth="1"/>
    <col min="9993" max="10240" width="9.140625" style="376"/>
    <col min="10241" max="10241" width="2.7109375" style="376" customWidth="1"/>
    <col min="10242" max="10242" width="21.7109375" style="376" customWidth="1"/>
    <col min="10243" max="10243" width="45.7109375" style="376" customWidth="1"/>
    <col min="10244" max="10244" width="7.5703125" style="376" customWidth="1"/>
    <col min="10245" max="10248" width="15.7109375" style="376" customWidth="1"/>
    <col min="10249" max="10496" width="9.140625" style="376"/>
    <col min="10497" max="10497" width="2.7109375" style="376" customWidth="1"/>
    <col min="10498" max="10498" width="21.7109375" style="376" customWidth="1"/>
    <col min="10499" max="10499" width="45.7109375" style="376" customWidth="1"/>
    <col min="10500" max="10500" width="7.5703125" style="376" customWidth="1"/>
    <col min="10501" max="10504" width="15.7109375" style="376" customWidth="1"/>
    <col min="10505" max="10752" width="9.140625" style="376"/>
    <col min="10753" max="10753" width="2.7109375" style="376" customWidth="1"/>
    <col min="10754" max="10754" width="21.7109375" style="376" customWidth="1"/>
    <col min="10755" max="10755" width="45.7109375" style="376" customWidth="1"/>
    <col min="10756" max="10756" width="7.5703125" style="376" customWidth="1"/>
    <col min="10757" max="10760" width="15.7109375" style="376" customWidth="1"/>
    <col min="10761" max="11008" width="9.140625" style="376"/>
    <col min="11009" max="11009" width="2.7109375" style="376" customWidth="1"/>
    <col min="11010" max="11010" width="21.7109375" style="376" customWidth="1"/>
    <col min="11011" max="11011" width="45.7109375" style="376" customWidth="1"/>
    <col min="11012" max="11012" width="7.5703125" style="376" customWidth="1"/>
    <col min="11013" max="11016" width="15.7109375" style="376" customWidth="1"/>
    <col min="11017" max="11264" width="9.140625" style="376"/>
    <col min="11265" max="11265" width="2.7109375" style="376" customWidth="1"/>
    <col min="11266" max="11266" width="21.7109375" style="376" customWidth="1"/>
    <col min="11267" max="11267" width="45.7109375" style="376" customWidth="1"/>
    <col min="11268" max="11268" width="7.5703125" style="376" customWidth="1"/>
    <col min="11269" max="11272" width="15.7109375" style="376" customWidth="1"/>
    <col min="11273" max="11520" width="9.140625" style="376"/>
    <col min="11521" max="11521" width="2.7109375" style="376" customWidth="1"/>
    <col min="11522" max="11522" width="21.7109375" style="376" customWidth="1"/>
    <col min="11523" max="11523" width="45.7109375" style="376" customWidth="1"/>
    <col min="11524" max="11524" width="7.5703125" style="376" customWidth="1"/>
    <col min="11525" max="11528" width="15.7109375" style="376" customWidth="1"/>
    <col min="11529" max="11776" width="9.140625" style="376"/>
    <col min="11777" max="11777" width="2.7109375" style="376" customWidth="1"/>
    <col min="11778" max="11778" width="21.7109375" style="376" customWidth="1"/>
    <col min="11779" max="11779" width="45.7109375" style="376" customWidth="1"/>
    <col min="11780" max="11780" width="7.5703125" style="376" customWidth="1"/>
    <col min="11781" max="11784" width="15.7109375" style="376" customWidth="1"/>
    <col min="11785" max="12032" width="9.140625" style="376"/>
    <col min="12033" max="12033" width="2.7109375" style="376" customWidth="1"/>
    <col min="12034" max="12034" width="21.7109375" style="376" customWidth="1"/>
    <col min="12035" max="12035" width="45.7109375" style="376" customWidth="1"/>
    <col min="12036" max="12036" width="7.5703125" style="376" customWidth="1"/>
    <col min="12037" max="12040" width="15.7109375" style="376" customWidth="1"/>
    <col min="12041" max="12288" width="9.140625" style="376"/>
    <col min="12289" max="12289" width="2.7109375" style="376" customWidth="1"/>
    <col min="12290" max="12290" width="21.7109375" style="376" customWidth="1"/>
    <col min="12291" max="12291" width="45.7109375" style="376" customWidth="1"/>
    <col min="12292" max="12292" width="7.5703125" style="376" customWidth="1"/>
    <col min="12293" max="12296" width="15.7109375" style="376" customWidth="1"/>
    <col min="12297" max="12544" width="9.140625" style="376"/>
    <col min="12545" max="12545" width="2.7109375" style="376" customWidth="1"/>
    <col min="12546" max="12546" width="21.7109375" style="376" customWidth="1"/>
    <col min="12547" max="12547" width="45.7109375" style="376" customWidth="1"/>
    <col min="12548" max="12548" width="7.5703125" style="376" customWidth="1"/>
    <col min="12549" max="12552" width="15.7109375" style="376" customWidth="1"/>
    <col min="12553" max="12800" width="9.140625" style="376"/>
    <col min="12801" max="12801" width="2.7109375" style="376" customWidth="1"/>
    <col min="12802" max="12802" width="21.7109375" style="376" customWidth="1"/>
    <col min="12803" max="12803" width="45.7109375" style="376" customWidth="1"/>
    <col min="12804" max="12804" width="7.5703125" style="376" customWidth="1"/>
    <col min="12805" max="12808" width="15.7109375" style="376" customWidth="1"/>
    <col min="12809" max="13056" width="9.140625" style="376"/>
    <col min="13057" max="13057" width="2.7109375" style="376" customWidth="1"/>
    <col min="13058" max="13058" width="21.7109375" style="376" customWidth="1"/>
    <col min="13059" max="13059" width="45.7109375" style="376" customWidth="1"/>
    <col min="13060" max="13060" width="7.5703125" style="376" customWidth="1"/>
    <col min="13061" max="13064" width="15.7109375" style="376" customWidth="1"/>
    <col min="13065" max="13312" width="9.140625" style="376"/>
    <col min="13313" max="13313" width="2.7109375" style="376" customWidth="1"/>
    <col min="13314" max="13314" width="21.7109375" style="376" customWidth="1"/>
    <col min="13315" max="13315" width="45.7109375" style="376" customWidth="1"/>
    <col min="13316" max="13316" width="7.5703125" style="376" customWidth="1"/>
    <col min="13317" max="13320" width="15.7109375" style="376" customWidth="1"/>
    <col min="13321" max="13568" width="9.140625" style="376"/>
    <col min="13569" max="13569" width="2.7109375" style="376" customWidth="1"/>
    <col min="13570" max="13570" width="21.7109375" style="376" customWidth="1"/>
    <col min="13571" max="13571" width="45.7109375" style="376" customWidth="1"/>
    <col min="13572" max="13572" width="7.5703125" style="376" customWidth="1"/>
    <col min="13573" max="13576" width="15.7109375" style="376" customWidth="1"/>
    <col min="13577" max="13824" width="9.140625" style="376"/>
    <col min="13825" max="13825" width="2.7109375" style="376" customWidth="1"/>
    <col min="13826" max="13826" width="21.7109375" style="376" customWidth="1"/>
    <col min="13827" max="13827" width="45.7109375" style="376" customWidth="1"/>
    <col min="13828" max="13828" width="7.5703125" style="376" customWidth="1"/>
    <col min="13829" max="13832" width="15.7109375" style="376" customWidth="1"/>
    <col min="13833" max="14080" width="9.140625" style="376"/>
    <col min="14081" max="14081" width="2.7109375" style="376" customWidth="1"/>
    <col min="14082" max="14082" width="21.7109375" style="376" customWidth="1"/>
    <col min="14083" max="14083" width="45.7109375" style="376" customWidth="1"/>
    <col min="14084" max="14084" width="7.5703125" style="376" customWidth="1"/>
    <col min="14085" max="14088" width="15.7109375" style="376" customWidth="1"/>
    <col min="14089" max="14336" width="9.140625" style="376"/>
    <col min="14337" max="14337" width="2.7109375" style="376" customWidth="1"/>
    <col min="14338" max="14338" width="21.7109375" style="376" customWidth="1"/>
    <col min="14339" max="14339" width="45.7109375" style="376" customWidth="1"/>
    <col min="14340" max="14340" width="7.5703125" style="376" customWidth="1"/>
    <col min="14341" max="14344" width="15.7109375" style="376" customWidth="1"/>
    <col min="14345" max="14592" width="9.140625" style="376"/>
    <col min="14593" max="14593" width="2.7109375" style="376" customWidth="1"/>
    <col min="14594" max="14594" width="21.7109375" style="376" customWidth="1"/>
    <col min="14595" max="14595" width="45.7109375" style="376" customWidth="1"/>
    <col min="14596" max="14596" width="7.5703125" style="376" customWidth="1"/>
    <col min="14597" max="14600" width="15.7109375" style="376" customWidth="1"/>
    <col min="14601" max="14848" width="9.140625" style="376"/>
    <col min="14849" max="14849" width="2.7109375" style="376" customWidth="1"/>
    <col min="14850" max="14850" width="21.7109375" style="376" customWidth="1"/>
    <col min="14851" max="14851" width="45.7109375" style="376" customWidth="1"/>
    <col min="14852" max="14852" width="7.5703125" style="376" customWidth="1"/>
    <col min="14853" max="14856" width="15.7109375" style="376" customWidth="1"/>
    <col min="14857" max="15104" width="9.140625" style="376"/>
    <col min="15105" max="15105" width="2.7109375" style="376" customWidth="1"/>
    <col min="15106" max="15106" width="21.7109375" style="376" customWidth="1"/>
    <col min="15107" max="15107" width="45.7109375" style="376" customWidth="1"/>
    <col min="15108" max="15108" width="7.5703125" style="376" customWidth="1"/>
    <col min="15109" max="15112" width="15.7109375" style="376" customWidth="1"/>
    <col min="15113" max="15360" width="9.140625" style="376"/>
    <col min="15361" max="15361" width="2.7109375" style="376" customWidth="1"/>
    <col min="15362" max="15362" width="21.7109375" style="376" customWidth="1"/>
    <col min="15363" max="15363" width="45.7109375" style="376" customWidth="1"/>
    <col min="15364" max="15364" width="7.5703125" style="376" customWidth="1"/>
    <col min="15365" max="15368" width="15.7109375" style="376" customWidth="1"/>
    <col min="15369" max="15616" width="9.140625" style="376"/>
    <col min="15617" max="15617" width="2.7109375" style="376" customWidth="1"/>
    <col min="15618" max="15618" width="21.7109375" style="376" customWidth="1"/>
    <col min="15619" max="15619" width="45.7109375" style="376" customWidth="1"/>
    <col min="15620" max="15620" width="7.5703125" style="376" customWidth="1"/>
    <col min="15621" max="15624" width="15.7109375" style="376" customWidth="1"/>
    <col min="15625" max="15872" width="9.140625" style="376"/>
    <col min="15873" max="15873" width="2.7109375" style="376" customWidth="1"/>
    <col min="15874" max="15874" width="21.7109375" style="376" customWidth="1"/>
    <col min="15875" max="15875" width="45.7109375" style="376" customWidth="1"/>
    <col min="15876" max="15876" width="7.5703125" style="376" customWidth="1"/>
    <col min="15877" max="15880" width="15.7109375" style="376" customWidth="1"/>
    <col min="15881" max="16128" width="9.140625" style="376"/>
    <col min="16129" max="16129" width="2.7109375" style="376" customWidth="1"/>
    <col min="16130" max="16130" width="21.7109375" style="376" customWidth="1"/>
    <col min="16131" max="16131" width="45.7109375" style="376" customWidth="1"/>
    <col min="16132" max="16132" width="7.5703125" style="376" customWidth="1"/>
    <col min="16133" max="16136" width="15.7109375" style="376" customWidth="1"/>
    <col min="16137" max="16384" width="9.140625" style="376"/>
  </cols>
  <sheetData>
    <row r="1" spans="1:12" ht="12.75" customHeight="1" x14ac:dyDescent="0.2">
      <c r="H1" s="41"/>
      <c r="I1" s="41" t="s">
        <v>569</v>
      </c>
    </row>
    <row r="2" spans="1:12" ht="17.25" customHeight="1" x14ac:dyDescent="0.2">
      <c r="B2" s="548" t="s">
        <v>766</v>
      </c>
      <c r="C2" s="548"/>
      <c r="D2" s="548"/>
      <c r="E2" s="548"/>
      <c r="F2" s="548"/>
      <c r="G2" s="548"/>
      <c r="H2" s="548"/>
      <c r="I2" s="548"/>
    </row>
    <row r="3" spans="1:12" ht="12" customHeight="1" thickBot="1" x14ac:dyDescent="0.25">
      <c r="E3" s="376"/>
      <c r="F3" s="376"/>
      <c r="G3" s="376"/>
      <c r="H3" s="43"/>
      <c r="I3" s="43" t="s">
        <v>124</v>
      </c>
    </row>
    <row r="4" spans="1:12" ht="24" customHeight="1" x14ac:dyDescent="0.2">
      <c r="B4" s="549" t="s">
        <v>56</v>
      </c>
      <c r="C4" s="551" t="s">
        <v>57</v>
      </c>
      <c r="D4" s="553" t="s">
        <v>80</v>
      </c>
      <c r="E4" s="528" t="s">
        <v>735</v>
      </c>
      <c r="F4" s="530" t="s">
        <v>736</v>
      </c>
      <c r="G4" s="532" t="s">
        <v>769</v>
      </c>
      <c r="H4" s="533"/>
      <c r="I4" s="534" t="s">
        <v>767</v>
      </c>
    </row>
    <row r="5" spans="1:12" ht="28.5" customHeight="1" x14ac:dyDescent="0.2">
      <c r="B5" s="550"/>
      <c r="C5" s="552"/>
      <c r="D5" s="554"/>
      <c r="E5" s="529"/>
      <c r="F5" s="531"/>
      <c r="G5" s="377" t="s">
        <v>63</v>
      </c>
      <c r="H5" s="378" t="s">
        <v>44</v>
      </c>
      <c r="I5" s="535"/>
    </row>
    <row r="6" spans="1:12" ht="12.75" customHeight="1" thickBot="1" x14ac:dyDescent="0.25">
      <c r="B6" s="379">
        <v>1</v>
      </c>
      <c r="C6" s="380">
        <v>2</v>
      </c>
      <c r="D6" s="381">
        <v>3</v>
      </c>
      <c r="E6" s="382">
        <v>4</v>
      </c>
      <c r="F6" s="383">
        <v>5</v>
      </c>
      <c r="G6" s="384">
        <v>6</v>
      </c>
      <c r="H6" s="385">
        <v>7</v>
      </c>
      <c r="I6" s="386">
        <v>8</v>
      </c>
    </row>
    <row r="7" spans="1:12" ht="20.100000000000001" customHeight="1" x14ac:dyDescent="0.2">
      <c r="B7" s="387"/>
      <c r="C7" s="388" t="s">
        <v>58</v>
      </c>
      <c r="D7" s="389"/>
      <c r="E7" s="50"/>
      <c r="F7" s="51"/>
      <c r="G7" s="50"/>
      <c r="H7" s="31"/>
      <c r="I7" s="349"/>
    </row>
    <row r="8" spans="1:12" ht="20.100000000000001" customHeight="1" x14ac:dyDescent="0.2">
      <c r="A8" s="390"/>
      <c r="B8" s="391" t="s">
        <v>269</v>
      </c>
      <c r="C8" s="388" t="s">
        <v>270</v>
      </c>
      <c r="D8" s="392" t="s">
        <v>271</v>
      </c>
      <c r="E8" s="30"/>
      <c r="F8" s="51"/>
      <c r="G8" s="50"/>
      <c r="H8" s="31"/>
      <c r="I8" s="350"/>
    </row>
    <row r="9" spans="1:12" ht="20.100000000000001" customHeight="1" x14ac:dyDescent="0.2">
      <c r="A9" s="390"/>
      <c r="B9" s="538"/>
      <c r="C9" s="393" t="s">
        <v>272</v>
      </c>
      <c r="D9" s="539" t="s">
        <v>273</v>
      </c>
      <c r="E9" s="546">
        <f>E11+E18+E27+E28+E39</f>
        <v>520620</v>
      </c>
      <c r="F9" s="536">
        <f>F11+F18+F27+F28+F39</f>
        <v>638417</v>
      </c>
      <c r="G9" s="536">
        <f t="shared" ref="G9:H9" si="0">G11+G18+G27+G28+G39</f>
        <v>638417</v>
      </c>
      <c r="H9" s="536">
        <f t="shared" si="0"/>
        <v>493815</v>
      </c>
      <c r="I9" s="522">
        <f>H9/G9</f>
        <v>0.77349913927730618</v>
      </c>
    </row>
    <row r="10" spans="1:12" ht="13.5" customHeight="1" x14ac:dyDescent="0.2">
      <c r="A10" s="390"/>
      <c r="B10" s="538"/>
      <c r="C10" s="394" t="s">
        <v>274</v>
      </c>
      <c r="D10" s="539"/>
      <c r="E10" s="547"/>
      <c r="F10" s="537"/>
      <c r="G10" s="537"/>
      <c r="H10" s="537"/>
      <c r="I10" s="523"/>
    </row>
    <row r="11" spans="1:12" ht="20.100000000000001" customHeight="1" x14ac:dyDescent="0.2">
      <c r="A11" s="390"/>
      <c r="B11" s="538" t="s">
        <v>275</v>
      </c>
      <c r="C11" s="395" t="s">
        <v>276</v>
      </c>
      <c r="D11" s="539" t="s">
        <v>277</v>
      </c>
      <c r="E11" s="546">
        <f>SUM(E13:E17)</f>
        <v>2999</v>
      </c>
      <c r="F11" s="536">
        <f>SUM(F13:F17)</f>
        <v>4000</v>
      </c>
      <c r="G11" s="536">
        <f t="shared" ref="G11:H11" si="1">SUM(G13:G17)</f>
        <v>4000</v>
      </c>
      <c r="H11" s="536">
        <f t="shared" si="1"/>
        <v>2578</v>
      </c>
      <c r="I11" s="522">
        <f>H11/G11</f>
        <v>0.64449999999999996</v>
      </c>
      <c r="L11" s="396"/>
    </row>
    <row r="12" spans="1:12" ht="12.75" customHeight="1" x14ac:dyDescent="0.2">
      <c r="A12" s="390"/>
      <c r="B12" s="538"/>
      <c r="C12" s="397" t="s">
        <v>278</v>
      </c>
      <c r="D12" s="539"/>
      <c r="E12" s="547"/>
      <c r="F12" s="537"/>
      <c r="G12" s="537"/>
      <c r="H12" s="537"/>
      <c r="I12" s="523"/>
    </row>
    <row r="13" spans="1:12" ht="20.100000000000001" customHeight="1" x14ac:dyDescent="0.2">
      <c r="A13" s="390"/>
      <c r="B13" s="391" t="s">
        <v>81</v>
      </c>
      <c r="C13" s="398" t="s">
        <v>125</v>
      </c>
      <c r="D13" s="392" t="s">
        <v>279</v>
      </c>
      <c r="E13" s="50"/>
      <c r="F13" s="51"/>
      <c r="G13" s="50"/>
      <c r="H13" s="373"/>
      <c r="I13" s="463"/>
    </row>
    <row r="14" spans="1:12" ht="25.5" customHeight="1" x14ac:dyDescent="0.2">
      <c r="A14" s="390"/>
      <c r="B14" s="391" t="s">
        <v>280</v>
      </c>
      <c r="C14" s="398" t="s">
        <v>281</v>
      </c>
      <c r="D14" s="392" t="s">
        <v>282</v>
      </c>
      <c r="E14" s="50">
        <v>724</v>
      </c>
      <c r="F14" s="51">
        <v>2000</v>
      </c>
      <c r="G14" s="50">
        <v>2000</v>
      </c>
      <c r="H14" s="373">
        <v>603</v>
      </c>
      <c r="I14" s="463">
        <f>H14/G14</f>
        <v>0.30149999999999999</v>
      </c>
    </row>
    <row r="15" spans="1:12" ht="20.100000000000001" customHeight="1" x14ac:dyDescent="0.2">
      <c r="A15" s="390"/>
      <c r="B15" s="391" t="s">
        <v>89</v>
      </c>
      <c r="C15" s="398" t="s">
        <v>283</v>
      </c>
      <c r="D15" s="392" t="s">
        <v>284</v>
      </c>
      <c r="E15" s="50"/>
      <c r="F15" s="51"/>
      <c r="G15" s="50"/>
      <c r="H15" s="31"/>
      <c r="I15" s="463"/>
    </row>
    <row r="16" spans="1:12" ht="25.5" customHeight="1" x14ac:dyDescent="0.2">
      <c r="A16" s="390"/>
      <c r="B16" s="391" t="s">
        <v>285</v>
      </c>
      <c r="C16" s="398" t="s">
        <v>286</v>
      </c>
      <c r="D16" s="392" t="s">
        <v>287</v>
      </c>
      <c r="E16" s="50">
        <v>2275</v>
      </c>
      <c r="F16" s="51">
        <v>2000</v>
      </c>
      <c r="G16" s="50">
        <v>2000</v>
      </c>
      <c r="H16" s="31">
        <v>1975</v>
      </c>
      <c r="I16" s="463">
        <f>H16/G16</f>
        <v>0.98750000000000004</v>
      </c>
    </row>
    <row r="17" spans="1:9" ht="20.100000000000001" customHeight="1" x14ac:dyDescent="0.2">
      <c r="A17" s="390"/>
      <c r="B17" s="391" t="s">
        <v>90</v>
      </c>
      <c r="C17" s="398" t="s">
        <v>288</v>
      </c>
      <c r="D17" s="392" t="s">
        <v>289</v>
      </c>
      <c r="E17" s="50"/>
      <c r="F17" s="51"/>
      <c r="G17" s="50"/>
      <c r="H17" s="31"/>
      <c r="I17" s="374"/>
    </row>
    <row r="18" spans="1:9" ht="20.100000000000001" customHeight="1" x14ac:dyDescent="0.2">
      <c r="A18" s="390"/>
      <c r="B18" s="538" t="s">
        <v>290</v>
      </c>
      <c r="C18" s="395" t="s">
        <v>291</v>
      </c>
      <c r="D18" s="539" t="s">
        <v>292</v>
      </c>
      <c r="E18" s="546">
        <f t="shared" ref="E18:F18" si="2">SUM(E20:E26)</f>
        <v>515922</v>
      </c>
      <c r="F18" s="536">
        <f t="shared" si="2"/>
        <v>631917</v>
      </c>
      <c r="G18" s="536">
        <f t="shared" ref="G18:H18" si="3">SUM(G20:G26)</f>
        <v>631917</v>
      </c>
      <c r="H18" s="536">
        <f t="shared" si="3"/>
        <v>490637</v>
      </c>
      <c r="I18" s="522">
        <f>H18/G18</f>
        <v>0.77642633447114096</v>
      </c>
    </row>
    <row r="19" spans="1:9" ht="12.75" customHeight="1" x14ac:dyDescent="0.2">
      <c r="A19" s="390"/>
      <c r="B19" s="538"/>
      <c r="C19" s="397" t="s">
        <v>293</v>
      </c>
      <c r="D19" s="539"/>
      <c r="E19" s="547"/>
      <c r="F19" s="537"/>
      <c r="G19" s="537"/>
      <c r="H19" s="537"/>
      <c r="I19" s="523"/>
    </row>
    <row r="20" spans="1:9" ht="20.100000000000001" customHeight="1" x14ac:dyDescent="0.2">
      <c r="A20" s="390"/>
      <c r="B20" s="391" t="s">
        <v>294</v>
      </c>
      <c r="C20" s="398" t="s">
        <v>295</v>
      </c>
      <c r="D20" s="392" t="s">
        <v>296</v>
      </c>
      <c r="E20" s="50">
        <v>4938</v>
      </c>
      <c r="F20" s="51">
        <v>4000</v>
      </c>
      <c r="G20" s="50">
        <v>4000</v>
      </c>
      <c r="H20" s="31">
        <v>3737</v>
      </c>
      <c r="I20" s="374">
        <f>H20/G20</f>
        <v>0.93425000000000002</v>
      </c>
    </row>
    <row r="21" spans="1:9" ht="20.100000000000001" customHeight="1" x14ac:dyDescent="0.2">
      <c r="B21" s="399" t="s">
        <v>91</v>
      </c>
      <c r="C21" s="398" t="s">
        <v>297</v>
      </c>
      <c r="D21" s="392" t="s">
        <v>298</v>
      </c>
      <c r="E21" s="50">
        <v>502640</v>
      </c>
      <c r="F21" s="51">
        <v>602917</v>
      </c>
      <c r="G21" s="50">
        <v>602917</v>
      </c>
      <c r="H21" s="31">
        <v>464303</v>
      </c>
      <c r="I21" s="374">
        <f>H21/G21</f>
        <v>0.77009439110192612</v>
      </c>
    </row>
    <row r="22" spans="1:9" ht="20.100000000000001" customHeight="1" x14ac:dyDescent="0.2">
      <c r="B22" s="399" t="s">
        <v>92</v>
      </c>
      <c r="C22" s="398" t="s">
        <v>299</v>
      </c>
      <c r="D22" s="392" t="s">
        <v>300</v>
      </c>
      <c r="E22" s="50"/>
      <c r="F22" s="51"/>
      <c r="G22" s="50"/>
      <c r="H22" s="31"/>
      <c r="I22" s="374"/>
    </row>
    <row r="23" spans="1:9" ht="25.5" customHeight="1" x14ac:dyDescent="0.2">
      <c r="B23" s="399" t="s">
        <v>301</v>
      </c>
      <c r="C23" s="398" t="s">
        <v>302</v>
      </c>
      <c r="D23" s="392" t="s">
        <v>303</v>
      </c>
      <c r="E23" s="50">
        <v>829</v>
      </c>
      <c r="F23" s="51">
        <v>17000</v>
      </c>
      <c r="G23" s="50">
        <v>17000</v>
      </c>
      <c r="H23" s="31">
        <v>15458</v>
      </c>
      <c r="I23" s="374">
        <f t="shared" ref="I23" si="4">H23/G23</f>
        <v>0.90929411764705881</v>
      </c>
    </row>
    <row r="24" spans="1:9" ht="25.5" customHeight="1" x14ac:dyDescent="0.2">
      <c r="B24" s="399" t="s">
        <v>304</v>
      </c>
      <c r="C24" s="398" t="s">
        <v>305</v>
      </c>
      <c r="D24" s="392" t="s">
        <v>306</v>
      </c>
      <c r="E24" s="50">
        <v>7515</v>
      </c>
      <c r="F24" s="51">
        <v>8000</v>
      </c>
      <c r="G24" s="50">
        <v>8000</v>
      </c>
      <c r="H24" s="31">
        <v>7139</v>
      </c>
      <c r="I24" s="350"/>
    </row>
    <row r="25" spans="1:9" ht="25.5" customHeight="1" x14ac:dyDescent="0.2">
      <c r="B25" s="399" t="s">
        <v>307</v>
      </c>
      <c r="C25" s="398" t="s">
        <v>308</v>
      </c>
      <c r="D25" s="392" t="s">
        <v>309</v>
      </c>
      <c r="E25" s="50"/>
      <c r="F25" s="51"/>
      <c r="G25" s="50"/>
      <c r="H25" s="31"/>
      <c r="I25" s="350"/>
    </row>
    <row r="26" spans="1:9" ht="25.5" customHeight="1" x14ac:dyDescent="0.2">
      <c r="B26" s="399" t="s">
        <v>307</v>
      </c>
      <c r="C26" s="398" t="s">
        <v>310</v>
      </c>
      <c r="D26" s="392" t="s">
        <v>311</v>
      </c>
      <c r="E26" s="50"/>
      <c r="F26" s="51"/>
      <c r="G26" s="50"/>
      <c r="H26" s="31"/>
      <c r="I26" s="350"/>
    </row>
    <row r="27" spans="1:9" ht="20.100000000000001" customHeight="1" x14ac:dyDescent="0.2">
      <c r="A27" s="390"/>
      <c r="B27" s="391" t="s">
        <v>312</v>
      </c>
      <c r="C27" s="398" t="s">
        <v>313</v>
      </c>
      <c r="D27" s="392" t="s">
        <v>314</v>
      </c>
      <c r="E27" s="50"/>
      <c r="F27" s="51"/>
      <c r="G27" s="50"/>
      <c r="H27" s="31"/>
      <c r="I27" s="350"/>
    </row>
    <row r="28" spans="1:9" ht="25.5" customHeight="1" x14ac:dyDescent="0.2">
      <c r="A28" s="390"/>
      <c r="B28" s="538" t="s">
        <v>315</v>
      </c>
      <c r="C28" s="395" t="s">
        <v>316</v>
      </c>
      <c r="D28" s="539" t="s">
        <v>317</v>
      </c>
      <c r="E28" s="546">
        <f>SUM(E30:E38)</f>
        <v>1699</v>
      </c>
      <c r="F28" s="536">
        <f>SUM(F30:F38)</f>
        <v>2500</v>
      </c>
      <c r="G28" s="536">
        <f t="shared" ref="G28:H28" si="5">SUM(G30:G38)</f>
        <v>2500</v>
      </c>
      <c r="H28" s="536">
        <f t="shared" si="5"/>
        <v>600</v>
      </c>
      <c r="I28" s="526">
        <f>H28/G28</f>
        <v>0.24</v>
      </c>
    </row>
    <row r="29" spans="1:9" ht="22.5" customHeight="1" x14ac:dyDescent="0.2">
      <c r="A29" s="390"/>
      <c r="B29" s="538"/>
      <c r="C29" s="397" t="s">
        <v>318</v>
      </c>
      <c r="D29" s="539"/>
      <c r="E29" s="547"/>
      <c r="F29" s="537"/>
      <c r="G29" s="537"/>
      <c r="H29" s="537"/>
      <c r="I29" s="527"/>
    </row>
    <row r="30" spans="1:9" ht="25.5" customHeight="1" x14ac:dyDescent="0.2">
      <c r="A30" s="390"/>
      <c r="B30" s="391" t="s">
        <v>319</v>
      </c>
      <c r="C30" s="398" t="s">
        <v>320</v>
      </c>
      <c r="D30" s="392" t="s">
        <v>321</v>
      </c>
      <c r="E30" s="50"/>
      <c r="F30" s="51"/>
      <c r="G30" s="50"/>
      <c r="H30" s="31"/>
      <c r="I30" s="374"/>
    </row>
    <row r="31" spans="1:9" ht="25.5" customHeight="1" x14ac:dyDescent="0.2">
      <c r="B31" s="399" t="s">
        <v>322</v>
      </c>
      <c r="C31" s="398" t="s">
        <v>323</v>
      </c>
      <c r="D31" s="392" t="s">
        <v>324</v>
      </c>
      <c r="E31" s="50"/>
      <c r="F31" s="51"/>
      <c r="G31" s="50"/>
      <c r="H31" s="31"/>
      <c r="I31" s="350"/>
    </row>
    <row r="32" spans="1:9" ht="35.25" customHeight="1" x14ac:dyDescent="0.2">
      <c r="B32" s="399" t="s">
        <v>325</v>
      </c>
      <c r="C32" s="398" t="s">
        <v>326</v>
      </c>
      <c r="D32" s="392" t="s">
        <v>327</v>
      </c>
      <c r="E32" s="50"/>
      <c r="F32" s="51"/>
      <c r="G32" s="50"/>
      <c r="H32" s="31"/>
      <c r="I32" s="350"/>
    </row>
    <row r="33" spans="1:9" ht="35.25" customHeight="1" x14ac:dyDescent="0.2">
      <c r="B33" s="399" t="s">
        <v>328</v>
      </c>
      <c r="C33" s="398" t="s">
        <v>329</v>
      </c>
      <c r="D33" s="392" t="s">
        <v>330</v>
      </c>
      <c r="E33" s="50"/>
      <c r="F33" s="51"/>
      <c r="G33" s="50"/>
      <c r="H33" s="31"/>
      <c r="I33" s="350"/>
    </row>
    <row r="34" spans="1:9" ht="25.5" customHeight="1" x14ac:dyDescent="0.2">
      <c r="B34" s="399" t="s">
        <v>331</v>
      </c>
      <c r="C34" s="398" t="s">
        <v>332</v>
      </c>
      <c r="D34" s="392" t="s">
        <v>333</v>
      </c>
      <c r="E34" s="50"/>
      <c r="F34" s="51"/>
      <c r="G34" s="50"/>
      <c r="H34" s="31"/>
      <c r="I34" s="350"/>
    </row>
    <row r="35" spans="1:9" ht="25.5" customHeight="1" x14ac:dyDescent="0.2">
      <c r="B35" s="399" t="s">
        <v>331</v>
      </c>
      <c r="C35" s="398" t="s">
        <v>334</v>
      </c>
      <c r="D35" s="392" t="s">
        <v>335</v>
      </c>
      <c r="E35" s="50"/>
      <c r="F35" s="51"/>
      <c r="G35" s="50"/>
      <c r="H35" s="31"/>
      <c r="I35" s="350"/>
    </row>
    <row r="36" spans="1:9" ht="39" customHeight="1" x14ac:dyDescent="0.2">
      <c r="B36" s="399" t="s">
        <v>126</v>
      </c>
      <c r="C36" s="398" t="s">
        <v>336</v>
      </c>
      <c r="D36" s="392" t="s">
        <v>337</v>
      </c>
      <c r="E36" s="50"/>
      <c r="F36" s="51"/>
      <c r="G36" s="50"/>
      <c r="H36" s="31"/>
      <c r="I36" s="350"/>
    </row>
    <row r="37" spans="1:9" ht="25.5" customHeight="1" x14ac:dyDescent="0.2">
      <c r="B37" s="399" t="s">
        <v>127</v>
      </c>
      <c r="C37" s="398" t="s">
        <v>338</v>
      </c>
      <c r="D37" s="392" t="s">
        <v>339</v>
      </c>
      <c r="E37" s="50"/>
      <c r="F37" s="51"/>
      <c r="G37" s="50"/>
      <c r="H37" s="31"/>
      <c r="I37" s="350"/>
    </row>
    <row r="38" spans="1:9" ht="25.5" customHeight="1" x14ac:dyDescent="0.2">
      <c r="B38" s="399" t="s">
        <v>340</v>
      </c>
      <c r="C38" s="398" t="s">
        <v>341</v>
      </c>
      <c r="D38" s="392" t="s">
        <v>342</v>
      </c>
      <c r="E38" s="50">
        <v>1699</v>
      </c>
      <c r="F38" s="52">
        <v>2500</v>
      </c>
      <c r="G38" s="50">
        <v>2500</v>
      </c>
      <c r="H38" s="31">
        <v>600</v>
      </c>
      <c r="I38" s="374">
        <f>H38/G38</f>
        <v>0.24</v>
      </c>
    </row>
    <row r="39" spans="1:9" ht="25.5" customHeight="1" x14ac:dyDescent="0.2">
      <c r="B39" s="399" t="s">
        <v>343</v>
      </c>
      <c r="C39" s="398" t="s">
        <v>344</v>
      </c>
      <c r="D39" s="392" t="s">
        <v>345</v>
      </c>
      <c r="E39" s="50"/>
      <c r="F39" s="51"/>
      <c r="G39" s="50"/>
      <c r="H39" s="31"/>
      <c r="I39" s="374"/>
    </row>
    <row r="40" spans="1:9" ht="20.100000000000001" customHeight="1" x14ac:dyDescent="0.2">
      <c r="A40" s="390"/>
      <c r="B40" s="391">
        <v>288</v>
      </c>
      <c r="C40" s="388" t="s">
        <v>346</v>
      </c>
      <c r="D40" s="392" t="s">
        <v>347</v>
      </c>
      <c r="E40" s="50">
        <v>5559</v>
      </c>
      <c r="F40" s="51">
        <v>6000</v>
      </c>
      <c r="G40" s="50">
        <v>6000</v>
      </c>
      <c r="H40" s="31">
        <v>5559</v>
      </c>
      <c r="I40" s="374">
        <f>H40/G40</f>
        <v>0.92649999999999999</v>
      </c>
    </row>
    <row r="41" spans="1:9" ht="20.100000000000001" customHeight="1" x14ac:dyDescent="0.2">
      <c r="A41" s="390"/>
      <c r="B41" s="538"/>
      <c r="C41" s="393" t="s">
        <v>348</v>
      </c>
      <c r="D41" s="539" t="s">
        <v>349</v>
      </c>
      <c r="E41" s="546">
        <f>E43+E49+E50+E57+E62+E72+E73</f>
        <v>244881</v>
      </c>
      <c r="F41" s="536">
        <f>F43+F49+F50+F57+F62+F72+F73</f>
        <v>139662</v>
      </c>
      <c r="G41" s="536">
        <f t="shared" ref="G41" si="6">G43+G49+G50+G57+G62+G72+G73</f>
        <v>139662</v>
      </c>
      <c r="H41" s="536">
        <f>H43+H49+H50+H57+H62+H72+H73</f>
        <v>231185</v>
      </c>
      <c r="I41" s="522">
        <f>H41/G41</f>
        <v>1.6553178387822027</v>
      </c>
    </row>
    <row r="42" spans="1:9" ht="12.75" customHeight="1" x14ac:dyDescent="0.2">
      <c r="A42" s="390"/>
      <c r="B42" s="538"/>
      <c r="C42" s="394" t="s">
        <v>350</v>
      </c>
      <c r="D42" s="539"/>
      <c r="E42" s="547"/>
      <c r="F42" s="537"/>
      <c r="G42" s="537"/>
      <c r="H42" s="537"/>
      <c r="I42" s="523"/>
    </row>
    <row r="43" spans="1:9" ht="25.5" customHeight="1" x14ac:dyDescent="0.2">
      <c r="B43" s="399" t="s">
        <v>351</v>
      </c>
      <c r="C43" s="398" t="s">
        <v>352</v>
      </c>
      <c r="D43" s="392" t="s">
        <v>353</v>
      </c>
      <c r="E43" s="50">
        <f>SUM(E44:E48)</f>
        <v>35785</v>
      </c>
      <c r="F43" s="50">
        <f>SUM(F44:F48)</f>
        <v>39500</v>
      </c>
      <c r="G43" s="50">
        <f t="shared" ref="G43:H43" si="7">SUM(G44:G48)</f>
        <v>39500</v>
      </c>
      <c r="H43" s="50">
        <f t="shared" si="7"/>
        <v>40896</v>
      </c>
      <c r="I43" s="374">
        <f>H43/G43</f>
        <v>1.0353417721518987</v>
      </c>
    </row>
    <row r="44" spans="1:9" ht="20.100000000000001" customHeight="1" x14ac:dyDescent="0.2">
      <c r="B44" s="399">
        <v>10</v>
      </c>
      <c r="C44" s="398" t="s">
        <v>354</v>
      </c>
      <c r="D44" s="392" t="s">
        <v>355</v>
      </c>
      <c r="E44" s="50">
        <v>35514</v>
      </c>
      <c r="F44" s="51">
        <v>39000</v>
      </c>
      <c r="G44" s="50">
        <v>39000</v>
      </c>
      <c r="H44" s="31">
        <v>40512</v>
      </c>
      <c r="I44" s="374">
        <f t="shared" ref="I44:I52" si="8">H44/G44</f>
        <v>1.0387692307692307</v>
      </c>
    </row>
    <row r="45" spans="1:9" ht="20.100000000000001" customHeight="1" x14ac:dyDescent="0.2">
      <c r="B45" s="399" t="s">
        <v>356</v>
      </c>
      <c r="C45" s="398" t="s">
        <v>357</v>
      </c>
      <c r="D45" s="392" t="s">
        <v>358</v>
      </c>
      <c r="E45" s="50"/>
      <c r="F45" s="51"/>
      <c r="G45" s="50"/>
      <c r="H45" s="31"/>
      <c r="I45" s="374"/>
    </row>
    <row r="46" spans="1:9" ht="20.100000000000001" customHeight="1" x14ac:dyDescent="0.2">
      <c r="B46" s="399">
        <v>13</v>
      </c>
      <c r="C46" s="398" t="s">
        <v>359</v>
      </c>
      <c r="D46" s="392" t="s">
        <v>360</v>
      </c>
      <c r="E46" s="50"/>
      <c r="F46" s="51"/>
      <c r="G46" s="50"/>
      <c r="H46" s="31"/>
      <c r="I46" s="374"/>
    </row>
    <row r="47" spans="1:9" ht="20.100000000000001" customHeight="1" x14ac:dyDescent="0.2">
      <c r="B47" s="399" t="s">
        <v>361</v>
      </c>
      <c r="C47" s="398" t="s">
        <v>362</v>
      </c>
      <c r="D47" s="392" t="s">
        <v>363</v>
      </c>
      <c r="E47" s="50">
        <v>271</v>
      </c>
      <c r="F47" s="51">
        <v>500</v>
      </c>
      <c r="G47" s="50">
        <v>500</v>
      </c>
      <c r="H47" s="31">
        <v>384</v>
      </c>
      <c r="I47" s="374">
        <f t="shared" si="8"/>
        <v>0.76800000000000002</v>
      </c>
    </row>
    <row r="48" spans="1:9" ht="20.100000000000001" customHeight="1" x14ac:dyDescent="0.2">
      <c r="B48" s="399" t="s">
        <v>364</v>
      </c>
      <c r="C48" s="398" t="s">
        <v>365</v>
      </c>
      <c r="D48" s="392" t="s">
        <v>366</v>
      </c>
      <c r="E48" s="50"/>
      <c r="F48" s="51"/>
      <c r="G48" s="50"/>
      <c r="H48" s="31"/>
      <c r="I48" s="374"/>
    </row>
    <row r="49" spans="1:9" ht="25.5" customHeight="1" x14ac:dyDescent="0.2">
      <c r="A49" s="390"/>
      <c r="B49" s="391">
        <v>14</v>
      </c>
      <c r="C49" s="398" t="s">
        <v>367</v>
      </c>
      <c r="D49" s="392" t="s">
        <v>368</v>
      </c>
      <c r="E49" s="50"/>
      <c r="F49" s="51"/>
      <c r="G49" s="50"/>
      <c r="H49" s="31"/>
      <c r="I49" s="374"/>
    </row>
    <row r="50" spans="1:9" ht="20.100000000000001" customHeight="1" x14ac:dyDescent="0.2">
      <c r="A50" s="390"/>
      <c r="B50" s="538">
        <v>20</v>
      </c>
      <c r="C50" s="395" t="s">
        <v>369</v>
      </c>
      <c r="D50" s="539" t="s">
        <v>370</v>
      </c>
      <c r="E50" s="546">
        <f>SUM(E52:E56)</f>
        <v>117580</v>
      </c>
      <c r="F50" s="536">
        <f>SUM(F52:F56)</f>
        <v>52262</v>
      </c>
      <c r="G50" s="536">
        <f t="shared" ref="G50:H50" si="9">SUM(G52:G56)</f>
        <v>52262</v>
      </c>
      <c r="H50" s="536">
        <f t="shared" si="9"/>
        <v>120898</v>
      </c>
      <c r="I50" s="522">
        <f t="shared" si="8"/>
        <v>2.3133060349776127</v>
      </c>
    </row>
    <row r="51" spans="1:9" ht="12" customHeight="1" x14ac:dyDescent="0.2">
      <c r="A51" s="390"/>
      <c r="B51" s="538"/>
      <c r="C51" s="397" t="s">
        <v>371</v>
      </c>
      <c r="D51" s="539"/>
      <c r="E51" s="547"/>
      <c r="F51" s="537"/>
      <c r="G51" s="537"/>
      <c r="H51" s="537"/>
      <c r="I51" s="523"/>
    </row>
    <row r="52" spans="1:9" ht="20.100000000000001" customHeight="1" x14ac:dyDescent="0.2">
      <c r="A52" s="390"/>
      <c r="B52" s="391">
        <v>204</v>
      </c>
      <c r="C52" s="398" t="s">
        <v>372</v>
      </c>
      <c r="D52" s="392" t="s">
        <v>373</v>
      </c>
      <c r="E52" s="50">
        <v>117580</v>
      </c>
      <c r="F52" s="51">
        <v>52262</v>
      </c>
      <c r="G52" s="50">
        <v>52262</v>
      </c>
      <c r="H52" s="31">
        <v>120898</v>
      </c>
      <c r="I52" s="374">
        <f t="shared" si="8"/>
        <v>2.3133060349776127</v>
      </c>
    </row>
    <row r="53" spans="1:9" ht="20.100000000000001" customHeight="1" x14ac:dyDescent="0.2">
      <c r="A53" s="390"/>
      <c r="B53" s="391">
        <v>205</v>
      </c>
      <c r="C53" s="398" t="s">
        <v>374</v>
      </c>
      <c r="D53" s="392" t="s">
        <v>375</v>
      </c>
      <c r="E53" s="50"/>
      <c r="F53" s="51"/>
      <c r="G53" s="50"/>
      <c r="H53" s="31"/>
      <c r="I53" s="350"/>
    </row>
    <row r="54" spans="1:9" ht="25.5" customHeight="1" x14ac:dyDescent="0.2">
      <c r="A54" s="390"/>
      <c r="B54" s="391" t="s">
        <v>376</v>
      </c>
      <c r="C54" s="398" t="s">
        <v>377</v>
      </c>
      <c r="D54" s="392" t="s">
        <v>378</v>
      </c>
      <c r="E54" s="50"/>
      <c r="F54" s="51"/>
      <c r="G54" s="50"/>
      <c r="H54" s="31"/>
      <c r="I54" s="350"/>
    </row>
    <row r="55" spans="1:9" ht="25.5" customHeight="1" x14ac:dyDescent="0.2">
      <c r="A55" s="390"/>
      <c r="B55" s="391" t="s">
        <v>379</v>
      </c>
      <c r="C55" s="398" t="s">
        <v>380</v>
      </c>
      <c r="D55" s="392" t="s">
        <v>381</v>
      </c>
      <c r="E55" s="50"/>
      <c r="F55" s="51"/>
      <c r="G55" s="50"/>
      <c r="H55" s="31"/>
      <c r="I55" s="350"/>
    </row>
    <row r="56" spans="1:9" ht="20.100000000000001" customHeight="1" x14ac:dyDescent="0.2">
      <c r="A56" s="390"/>
      <c r="B56" s="391">
        <v>206</v>
      </c>
      <c r="C56" s="398" t="s">
        <v>382</v>
      </c>
      <c r="D56" s="392" t="s">
        <v>383</v>
      </c>
      <c r="E56" s="50"/>
      <c r="F56" s="51"/>
      <c r="G56" s="50"/>
      <c r="H56" s="31"/>
      <c r="I56" s="350"/>
    </row>
    <row r="57" spans="1:9" ht="20.100000000000001" customHeight="1" x14ac:dyDescent="0.2">
      <c r="A57" s="390"/>
      <c r="B57" s="538" t="s">
        <v>384</v>
      </c>
      <c r="C57" s="395" t="s">
        <v>385</v>
      </c>
      <c r="D57" s="539" t="s">
        <v>386</v>
      </c>
      <c r="E57" s="546">
        <f>SUM(E59:E61)</f>
        <v>35905</v>
      </c>
      <c r="F57" s="546">
        <f t="shared" ref="F57:H57" si="10">SUM(F59:F61)</f>
        <v>28000</v>
      </c>
      <c r="G57" s="546">
        <f t="shared" si="10"/>
        <v>28000</v>
      </c>
      <c r="H57" s="546">
        <f t="shared" si="10"/>
        <v>31952</v>
      </c>
      <c r="I57" s="526">
        <f t="shared" ref="I57:I63" si="11">H57/G57</f>
        <v>1.1411428571428572</v>
      </c>
    </row>
    <row r="58" spans="1:9" ht="12" customHeight="1" x14ac:dyDescent="0.2">
      <c r="A58" s="390"/>
      <c r="B58" s="538"/>
      <c r="C58" s="397" t="s">
        <v>387</v>
      </c>
      <c r="D58" s="539"/>
      <c r="E58" s="547"/>
      <c r="F58" s="547"/>
      <c r="G58" s="547"/>
      <c r="H58" s="547"/>
      <c r="I58" s="527" t="e">
        <f t="shared" si="11"/>
        <v>#DIV/0!</v>
      </c>
    </row>
    <row r="59" spans="1:9" ht="23.25" customHeight="1" x14ac:dyDescent="0.2">
      <c r="B59" s="399" t="s">
        <v>388</v>
      </c>
      <c r="C59" s="398" t="s">
        <v>389</v>
      </c>
      <c r="D59" s="392" t="s">
        <v>390</v>
      </c>
      <c r="E59" s="50">
        <v>32940</v>
      </c>
      <c r="F59" s="51">
        <v>28000</v>
      </c>
      <c r="G59" s="50">
        <v>28000</v>
      </c>
      <c r="H59" s="31">
        <v>27079</v>
      </c>
      <c r="I59" s="374">
        <f t="shared" si="11"/>
        <v>0.96710714285714283</v>
      </c>
    </row>
    <row r="60" spans="1:9" ht="20.100000000000001" customHeight="1" x14ac:dyDescent="0.2">
      <c r="B60" s="399">
        <v>223</v>
      </c>
      <c r="C60" s="398" t="s">
        <v>391</v>
      </c>
      <c r="D60" s="392" t="s">
        <v>392</v>
      </c>
      <c r="E60" s="50">
        <v>2965</v>
      </c>
      <c r="F60" s="51"/>
      <c r="G60" s="50"/>
      <c r="H60" s="31">
        <v>4873</v>
      </c>
      <c r="I60" s="374"/>
    </row>
    <row r="61" spans="1:9" ht="25.5" customHeight="1" x14ac:dyDescent="0.2">
      <c r="A61" s="390"/>
      <c r="B61" s="391">
        <v>224</v>
      </c>
      <c r="C61" s="398" t="s">
        <v>393</v>
      </c>
      <c r="D61" s="392" t="s">
        <v>394</v>
      </c>
      <c r="E61" s="50"/>
      <c r="F61" s="51"/>
      <c r="G61" s="50"/>
      <c r="H61" s="31"/>
      <c r="I61" s="350"/>
    </row>
    <row r="62" spans="1:9" ht="20.100000000000001" customHeight="1" x14ac:dyDescent="0.2">
      <c r="A62" s="390"/>
      <c r="B62" s="538">
        <v>23</v>
      </c>
      <c r="C62" s="395" t="s">
        <v>395</v>
      </c>
      <c r="D62" s="539" t="s">
        <v>396</v>
      </c>
      <c r="E62" s="546">
        <f t="shared" ref="E62:F62" si="12">SUM(E64:E71)</f>
        <v>475</v>
      </c>
      <c r="F62" s="536">
        <f t="shared" si="12"/>
        <v>900</v>
      </c>
      <c r="G62" s="536">
        <f t="shared" ref="G62" si="13">SUM(G64:G71)</f>
        <v>900</v>
      </c>
      <c r="H62" s="536">
        <f>SUM(H64:H71)</f>
        <v>320</v>
      </c>
      <c r="I62" s="526">
        <f t="shared" si="11"/>
        <v>0.35555555555555557</v>
      </c>
    </row>
    <row r="63" spans="1:9" ht="20.100000000000001" customHeight="1" x14ac:dyDescent="0.2">
      <c r="A63" s="390"/>
      <c r="B63" s="538"/>
      <c r="C63" s="397" t="s">
        <v>397</v>
      </c>
      <c r="D63" s="539"/>
      <c r="E63" s="547"/>
      <c r="F63" s="537"/>
      <c r="G63" s="537"/>
      <c r="H63" s="537"/>
      <c r="I63" s="527" t="e">
        <f t="shared" si="11"/>
        <v>#DIV/0!</v>
      </c>
    </row>
    <row r="64" spans="1:9" ht="25.5" customHeight="1" x14ac:dyDescent="0.2">
      <c r="B64" s="399">
        <v>230</v>
      </c>
      <c r="C64" s="398" t="s">
        <v>398</v>
      </c>
      <c r="D64" s="392" t="s">
        <v>399</v>
      </c>
      <c r="E64" s="50"/>
      <c r="F64" s="51"/>
      <c r="G64" s="50"/>
      <c r="H64" s="31"/>
      <c r="I64" s="350"/>
    </row>
    <row r="65" spans="1:9" ht="25.5" customHeight="1" x14ac:dyDescent="0.2">
      <c r="B65" s="399">
        <v>231</v>
      </c>
      <c r="C65" s="398" t="s">
        <v>400</v>
      </c>
      <c r="D65" s="392" t="s">
        <v>401</v>
      </c>
      <c r="E65" s="50"/>
      <c r="F65" s="51"/>
      <c r="G65" s="50"/>
      <c r="H65" s="31"/>
      <c r="I65" s="350"/>
    </row>
    <row r="66" spans="1:9" ht="20.100000000000001" customHeight="1" x14ac:dyDescent="0.2">
      <c r="B66" s="399" t="s">
        <v>402</v>
      </c>
      <c r="C66" s="398" t="s">
        <v>403</v>
      </c>
      <c r="D66" s="392" t="s">
        <v>404</v>
      </c>
      <c r="E66" s="50">
        <v>475</v>
      </c>
      <c r="F66" s="51">
        <v>900</v>
      </c>
      <c r="G66" s="50">
        <v>900</v>
      </c>
      <c r="H66" s="31">
        <v>320</v>
      </c>
      <c r="I66" s="374">
        <f>H66/G66</f>
        <v>0.35555555555555557</v>
      </c>
    </row>
    <row r="67" spans="1:9" ht="25.5" customHeight="1" x14ac:dyDescent="0.2">
      <c r="B67" s="399" t="s">
        <v>405</v>
      </c>
      <c r="C67" s="398" t="s">
        <v>406</v>
      </c>
      <c r="D67" s="392" t="s">
        <v>407</v>
      </c>
      <c r="E67" s="50"/>
      <c r="F67" s="51"/>
      <c r="G67" s="50"/>
      <c r="H67" s="31"/>
      <c r="I67" s="374"/>
    </row>
    <row r="68" spans="1:9" ht="25.5" customHeight="1" x14ac:dyDescent="0.2">
      <c r="B68" s="399">
        <v>235</v>
      </c>
      <c r="C68" s="398" t="s">
        <v>408</v>
      </c>
      <c r="D68" s="392" t="s">
        <v>409</v>
      </c>
      <c r="E68" s="50"/>
      <c r="F68" s="51"/>
      <c r="G68" s="50"/>
      <c r="H68" s="31"/>
      <c r="I68" s="350"/>
    </row>
    <row r="69" spans="1:9" ht="25.5" customHeight="1" x14ac:dyDescent="0.2">
      <c r="B69" s="399" t="s">
        <v>410</v>
      </c>
      <c r="C69" s="398" t="s">
        <v>411</v>
      </c>
      <c r="D69" s="392" t="s">
        <v>412</v>
      </c>
      <c r="E69" s="50"/>
      <c r="F69" s="51"/>
      <c r="G69" s="50"/>
      <c r="H69" s="31"/>
      <c r="I69" s="350"/>
    </row>
    <row r="70" spans="1:9" ht="25.5" customHeight="1" x14ac:dyDescent="0.2">
      <c r="B70" s="399">
        <v>237</v>
      </c>
      <c r="C70" s="398" t="s">
        <v>413</v>
      </c>
      <c r="D70" s="392" t="s">
        <v>414</v>
      </c>
      <c r="E70" s="50"/>
      <c r="F70" s="51"/>
      <c r="G70" s="50"/>
      <c r="H70" s="31"/>
      <c r="I70" s="350"/>
    </row>
    <row r="71" spans="1:9" ht="20.100000000000001" customHeight="1" x14ac:dyDescent="0.2">
      <c r="B71" s="399" t="s">
        <v>415</v>
      </c>
      <c r="C71" s="398" t="s">
        <v>416</v>
      </c>
      <c r="D71" s="392" t="s">
        <v>417</v>
      </c>
      <c r="E71" s="50"/>
      <c r="F71" s="51"/>
      <c r="G71" s="50"/>
      <c r="H71" s="31"/>
      <c r="I71" s="350"/>
    </row>
    <row r="72" spans="1:9" ht="20.100000000000001" customHeight="1" x14ac:dyDescent="0.2">
      <c r="B72" s="399">
        <v>24</v>
      </c>
      <c r="C72" s="398" t="s">
        <v>418</v>
      </c>
      <c r="D72" s="392" t="s">
        <v>419</v>
      </c>
      <c r="E72" s="50">
        <v>53619</v>
      </c>
      <c r="F72" s="51">
        <v>19000</v>
      </c>
      <c r="G72" s="50">
        <v>19000</v>
      </c>
      <c r="H72" s="31">
        <v>25831</v>
      </c>
      <c r="I72" s="374">
        <f>H72/G72</f>
        <v>1.3595263157894737</v>
      </c>
    </row>
    <row r="73" spans="1:9" ht="25.5" customHeight="1" x14ac:dyDescent="0.2">
      <c r="B73" s="399" t="s">
        <v>420</v>
      </c>
      <c r="C73" s="398" t="s">
        <v>421</v>
      </c>
      <c r="D73" s="392" t="s">
        <v>422</v>
      </c>
      <c r="E73" s="50">
        <v>1517</v>
      </c>
      <c r="F73" s="51"/>
      <c r="G73" s="50"/>
      <c r="H73" s="31">
        <v>11288</v>
      </c>
      <c r="I73" s="374"/>
    </row>
    <row r="74" spans="1:9" ht="25.5" customHeight="1" x14ac:dyDescent="0.2">
      <c r="B74" s="399"/>
      <c r="C74" s="388" t="s">
        <v>423</v>
      </c>
      <c r="D74" s="392" t="s">
        <v>424</v>
      </c>
      <c r="E74" s="50">
        <f>E8+E9+E40+E41</f>
        <v>771060</v>
      </c>
      <c r="F74" s="50">
        <f>F8+F9+F40+F41</f>
        <v>784079</v>
      </c>
      <c r="G74" s="50">
        <f t="shared" ref="G74:H74" si="14">G8+G9+G40+G41</f>
        <v>784079</v>
      </c>
      <c r="H74" s="50">
        <f t="shared" si="14"/>
        <v>730559</v>
      </c>
      <c r="I74" s="374">
        <f>H74/G74</f>
        <v>0.93174157195894802</v>
      </c>
    </row>
    <row r="75" spans="1:9" ht="20.100000000000001" customHeight="1" x14ac:dyDescent="0.2">
      <c r="B75" s="399">
        <v>88</v>
      </c>
      <c r="C75" s="388" t="s">
        <v>425</v>
      </c>
      <c r="D75" s="392" t="s">
        <v>426</v>
      </c>
      <c r="E75" s="50">
        <v>568034</v>
      </c>
      <c r="F75" s="51">
        <v>550000</v>
      </c>
      <c r="G75" s="50">
        <v>550000</v>
      </c>
      <c r="H75" s="31">
        <v>562680</v>
      </c>
      <c r="I75" s="374">
        <f>H75/G75</f>
        <v>1.0230545454545454</v>
      </c>
    </row>
    <row r="76" spans="1:9" ht="20.100000000000001" customHeight="1" x14ac:dyDescent="0.2">
      <c r="A76" s="390"/>
      <c r="B76" s="400"/>
      <c r="C76" s="388" t="s">
        <v>62</v>
      </c>
      <c r="D76" s="401"/>
      <c r="E76" s="50"/>
      <c r="F76" s="51"/>
      <c r="G76" s="50"/>
      <c r="H76" s="31"/>
      <c r="I76" s="350"/>
    </row>
    <row r="77" spans="1:9" ht="20.100000000000001" customHeight="1" x14ac:dyDescent="0.2">
      <c r="A77" s="390"/>
      <c r="B77" s="538"/>
      <c r="C77" s="393" t="s">
        <v>427</v>
      </c>
      <c r="D77" s="539" t="s">
        <v>129</v>
      </c>
      <c r="E77" s="546">
        <f>SUM(E79:E85)</f>
        <v>547080</v>
      </c>
      <c r="F77" s="536">
        <f>SUM(F79:F85)</f>
        <v>530134</v>
      </c>
      <c r="G77" s="536">
        <f t="shared" ref="G77" si="15">SUM(G79:G85)</f>
        <v>530134</v>
      </c>
      <c r="H77" s="536">
        <f>H79+H80+H81+H82+H83-H84+H85+H88-H89</f>
        <v>543738</v>
      </c>
      <c r="I77" s="526">
        <f t="shared" ref="I77:I78" si="16">H77/G77</f>
        <v>1.025661436542459</v>
      </c>
    </row>
    <row r="78" spans="1:9" ht="20.100000000000001" customHeight="1" x14ac:dyDescent="0.2">
      <c r="A78" s="390"/>
      <c r="B78" s="538"/>
      <c r="C78" s="394" t="s">
        <v>428</v>
      </c>
      <c r="D78" s="539"/>
      <c r="E78" s="547"/>
      <c r="F78" s="537"/>
      <c r="G78" s="537"/>
      <c r="H78" s="537"/>
      <c r="I78" s="527" t="e">
        <f t="shared" si="16"/>
        <v>#DIV/0!</v>
      </c>
    </row>
    <row r="79" spans="1:9" ht="20.100000000000001" customHeight="1" x14ac:dyDescent="0.2">
      <c r="A79" s="390"/>
      <c r="B79" s="391" t="s">
        <v>429</v>
      </c>
      <c r="C79" s="398" t="s">
        <v>430</v>
      </c>
      <c r="D79" s="392" t="s">
        <v>130</v>
      </c>
      <c r="E79" s="50">
        <v>523310</v>
      </c>
      <c r="F79" s="52">
        <v>523000</v>
      </c>
      <c r="G79" s="50">
        <v>523000</v>
      </c>
      <c r="H79" s="31">
        <v>523310</v>
      </c>
      <c r="I79" s="374">
        <f>H79/G79</f>
        <v>1.0005927342256213</v>
      </c>
    </row>
    <row r="80" spans="1:9" ht="20.100000000000001" customHeight="1" x14ac:dyDescent="0.2">
      <c r="B80" s="399">
        <v>31</v>
      </c>
      <c r="C80" s="398" t="s">
        <v>431</v>
      </c>
      <c r="D80" s="392" t="s">
        <v>131</v>
      </c>
      <c r="E80" s="50"/>
      <c r="F80" s="51"/>
      <c r="G80" s="50"/>
      <c r="H80" s="31"/>
      <c r="I80" s="350"/>
    </row>
    <row r="81" spans="1:9" ht="20.100000000000001" customHeight="1" x14ac:dyDescent="0.2">
      <c r="B81" s="399">
        <v>306</v>
      </c>
      <c r="C81" s="398" t="s">
        <v>432</v>
      </c>
      <c r="D81" s="392" t="s">
        <v>132</v>
      </c>
      <c r="E81" s="50"/>
      <c r="F81" s="51"/>
      <c r="G81" s="50"/>
      <c r="H81" s="31"/>
      <c r="I81" s="350"/>
    </row>
    <row r="82" spans="1:9" ht="20.100000000000001" customHeight="1" x14ac:dyDescent="0.2">
      <c r="B82" s="399">
        <v>32</v>
      </c>
      <c r="C82" s="398" t="s">
        <v>433</v>
      </c>
      <c r="D82" s="392" t="s">
        <v>133</v>
      </c>
      <c r="E82" s="50">
        <v>8</v>
      </c>
      <c r="F82" s="52">
        <v>8</v>
      </c>
      <c r="G82" s="50">
        <v>8</v>
      </c>
      <c r="H82" s="31">
        <v>8</v>
      </c>
      <c r="I82" s="374">
        <f>H82/G82</f>
        <v>1</v>
      </c>
    </row>
    <row r="83" spans="1:9" ht="58.5" customHeight="1" x14ac:dyDescent="0.2">
      <c r="B83" s="399" t="s">
        <v>434</v>
      </c>
      <c r="C83" s="398" t="s">
        <v>435</v>
      </c>
      <c r="D83" s="392" t="s">
        <v>134</v>
      </c>
      <c r="E83" s="50"/>
      <c r="F83" s="51"/>
      <c r="G83" s="50"/>
      <c r="H83" s="31"/>
      <c r="I83" s="350"/>
    </row>
    <row r="84" spans="1:9" ht="49.5" customHeight="1" x14ac:dyDescent="0.2">
      <c r="B84" s="399" t="s">
        <v>436</v>
      </c>
      <c r="C84" s="398" t="s">
        <v>437</v>
      </c>
      <c r="D84" s="392" t="s">
        <v>135</v>
      </c>
      <c r="E84" s="50"/>
      <c r="F84" s="51"/>
      <c r="G84" s="50"/>
      <c r="H84" s="31"/>
      <c r="I84" s="350"/>
    </row>
    <row r="85" spans="1:9" ht="20.100000000000001" customHeight="1" x14ac:dyDescent="0.2">
      <c r="B85" s="399">
        <v>34</v>
      </c>
      <c r="C85" s="398" t="s">
        <v>438</v>
      </c>
      <c r="D85" s="392" t="s">
        <v>136</v>
      </c>
      <c r="E85" s="50">
        <f>SUM(E86:E87)</f>
        <v>23762</v>
      </c>
      <c r="F85" s="50">
        <f>SUM(F86:F87)</f>
        <v>7126</v>
      </c>
      <c r="G85" s="50">
        <f t="shared" ref="G85:H85" si="17">SUM(G86:G87)</f>
        <v>7126</v>
      </c>
      <c r="H85" s="50">
        <f t="shared" si="17"/>
        <v>20420</v>
      </c>
      <c r="I85" s="374">
        <f>H85/G85</f>
        <v>2.8655627280381699</v>
      </c>
    </row>
    <row r="86" spans="1:9" ht="20.100000000000001" customHeight="1" x14ac:dyDescent="0.2">
      <c r="B86" s="399">
        <v>340</v>
      </c>
      <c r="C86" s="398" t="s">
        <v>146</v>
      </c>
      <c r="D86" s="392" t="s">
        <v>137</v>
      </c>
      <c r="E86" s="50">
        <v>4958</v>
      </c>
      <c r="F86" s="52">
        <v>5000</v>
      </c>
      <c r="G86" s="50">
        <v>5000</v>
      </c>
      <c r="H86" s="31">
        <v>15485</v>
      </c>
      <c r="I86" s="374">
        <f>H86/G86</f>
        <v>3.097</v>
      </c>
    </row>
    <row r="87" spans="1:9" ht="20.100000000000001" customHeight="1" x14ac:dyDescent="0.2">
      <c r="B87" s="399">
        <v>341</v>
      </c>
      <c r="C87" s="398" t="s">
        <v>439</v>
      </c>
      <c r="D87" s="392" t="s">
        <v>138</v>
      </c>
      <c r="E87" s="50">
        <v>18804</v>
      </c>
      <c r="F87" s="51">
        <v>2126</v>
      </c>
      <c r="G87" s="50">
        <v>2126</v>
      </c>
      <c r="H87" s="31">
        <v>4935</v>
      </c>
      <c r="I87" s="374">
        <f>H87/G87</f>
        <v>2.3212605832549387</v>
      </c>
    </row>
    <row r="88" spans="1:9" ht="20.100000000000001" customHeight="1" x14ac:dyDescent="0.2">
      <c r="B88" s="399"/>
      <c r="C88" s="398" t="s">
        <v>440</v>
      </c>
      <c r="D88" s="392" t="s">
        <v>139</v>
      </c>
      <c r="E88" s="50"/>
      <c r="F88" s="51"/>
      <c r="G88" s="50"/>
      <c r="H88" s="31"/>
      <c r="I88" s="350"/>
    </row>
    <row r="89" spans="1:9" ht="20.100000000000001" customHeight="1" x14ac:dyDescent="0.2">
      <c r="B89" s="399">
        <v>35</v>
      </c>
      <c r="C89" s="398" t="s">
        <v>441</v>
      </c>
      <c r="D89" s="392" t="s">
        <v>140</v>
      </c>
      <c r="E89" s="50"/>
      <c r="F89" s="51"/>
      <c r="G89" s="50"/>
      <c r="H89" s="31"/>
      <c r="I89" s="350"/>
    </row>
    <row r="90" spans="1:9" ht="20.100000000000001" customHeight="1" x14ac:dyDescent="0.2">
      <c r="B90" s="399">
        <v>350</v>
      </c>
      <c r="C90" s="398" t="s">
        <v>442</v>
      </c>
      <c r="D90" s="392" t="s">
        <v>141</v>
      </c>
      <c r="E90" s="50"/>
      <c r="F90" s="51"/>
      <c r="G90" s="50"/>
      <c r="H90" s="31"/>
      <c r="I90" s="350"/>
    </row>
    <row r="91" spans="1:9" ht="20.100000000000001" customHeight="1" x14ac:dyDescent="0.2">
      <c r="A91" s="390"/>
      <c r="B91" s="391">
        <v>351</v>
      </c>
      <c r="C91" s="398" t="s">
        <v>152</v>
      </c>
      <c r="D91" s="392" t="s">
        <v>142</v>
      </c>
      <c r="E91" s="50"/>
      <c r="F91" s="51"/>
      <c r="G91" s="50"/>
      <c r="H91" s="31"/>
      <c r="I91" s="350"/>
    </row>
    <row r="92" spans="1:9" ht="22.5" customHeight="1" x14ac:dyDescent="0.2">
      <c r="A92" s="390"/>
      <c r="B92" s="538"/>
      <c r="C92" s="393" t="s">
        <v>443</v>
      </c>
      <c r="D92" s="539" t="s">
        <v>143</v>
      </c>
      <c r="E92" s="546">
        <f>E94+E99+E108</f>
        <v>121559</v>
      </c>
      <c r="F92" s="536">
        <f>F94+F99+F108</f>
        <v>121201</v>
      </c>
      <c r="G92" s="536">
        <f t="shared" ref="G92:H92" si="18">G94+G99+G108</f>
        <v>121201</v>
      </c>
      <c r="H92" s="536">
        <f t="shared" si="18"/>
        <v>81292</v>
      </c>
      <c r="I92" s="526">
        <f t="shared" ref="I92:I95" si="19">H92/G92</f>
        <v>0.67072053860941738</v>
      </c>
    </row>
    <row r="93" spans="1:9" ht="13.5" customHeight="1" x14ac:dyDescent="0.2">
      <c r="A93" s="390"/>
      <c r="B93" s="538"/>
      <c r="C93" s="394" t="s">
        <v>444</v>
      </c>
      <c r="D93" s="539"/>
      <c r="E93" s="547"/>
      <c r="F93" s="537"/>
      <c r="G93" s="537"/>
      <c r="H93" s="537"/>
      <c r="I93" s="527" t="e">
        <f t="shared" si="19"/>
        <v>#DIV/0!</v>
      </c>
    </row>
    <row r="94" spans="1:9" ht="20.100000000000001" customHeight="1" x14ac:dyDescent="0.2">
      <c r="A94" s="390"/>
      <c r="B94" s="538">
        <v>40</v>
      </c>
      <c r="C94" s="395" t="s">
        <v>445</v>
      </c>
      <c r="D94" s="539" t="s">
        <v>144</v>
      </c>
      <c r="E94" s="546">
        <f t="shared" ref="E94:F94" si="20">SUM(E96:E98)</f>
        <v>19122</v>
      </c>
      <c r="F94" s="536">
        <f t="shared" si="20"/>
        <v>23000</v>
      </c>
      <c r="G94" s="536">
        <f t="shared" ref="G94:H94" si="21">SUM(G96:G98)</f>
        <v>23000</v>
      </c>
      <c r="H94" s="536">
        <f t="shared" si="21"/>
        <v>15595</v>
      </c>
      <c r="I94" s="526">
        <f t="shared" si="19"/>
        <v>0.67804347826086953</v>
      </c>
    </row>
    <row r="95" spans="1:9" ht="14.25" customHeight="1" x14ac:dyDescent="0.2">
      <c r="A95" s="390"/>
      <c r="B95" s="538"/>
      <c r="C95" s="397" t="s">
        <v>446</v>
      </c>
      <c r="D95" s="539"/>
      <c r="E95" s="547"/>
      <c r="F95" s="537"/>
      <c r="G95" s="537"/>
      <c r="H95" s="537"/>
      <c r="I95" s="527" t="e">
        <f t="shared" si="19"/>
        <v>#DIV/0!</v>
      </c>
    </row>
    <row r="96" spans="1:9" ht="25.5" customHeight="1" x14ac:dyDescent="0.2">
      <c r="A96" s="390"/>
      <c r="B96" s="391">
        <v>404</v>
      </c>
      <c r="C96" s="398" t="s">
        <v>447</v>
      </c>
      <c r="D96" s="392" t="s">
        <v>145</v>
      </c>
      <c r="E96" s="50">
        <v>14034</v>
      </c>
      <c r="F96" s="52">
        <v>20000</v>
      </c>
      <c r="G96" s="50">
        <v>20000</v>
      </c>
      <c r="H96" s="31">
        <v>15595</v>
      </c>
      <c r="I96" s="374">
        <f>H96/G96</f>
        <v>0.77975000000000005</v>
      </c>
    </row>
    <row r="97" spans="1:9" ht="20.100000000000001" customHeight="1" x14ac:dyDescent="0.2">
      <c r="A97" s="390"/>
      <c r="B97" s="391">
        <v>400</v>
      </c>
      <c r="C97" s="398" t="s">
        <v>448</v>
      </c>
      <c r="D97" s="392" t="s">
        <v>147</v>
      </c>
      <c r="E97" s="50"/>
      <c r="F97" s="51"/>
      <c r="G97" s="50"/>
      <c r="H97" s="31"/>
      <c r="I97" s="374"/>
    </row>
    <row r="98" spans="1:9" ht="20.100000000000001" customHeight="1" x14ac:dyDescent="0.2">
      <c r="A98" s="390"/>
      <c r="B98" s="391" t="s">
        <v>449</v>
      </c>
      <c r="C98" s="398" t="s">
        <v>450</v>
      </c>
      <c r="D98" s="392" t="s">
        <v>148</v>
      </c>
      <c r="E98" s="50">
        <v>5088</v>
      </c>
      <c r="F98" s="52">
        <v>3000</v>
      </c>
      <c r="G98" s="50">
        <v>3000</v>
      </c>
      <c r="H98" s="31"/>
      <c r="I98" s="374"/>
    </row>
    <row r="99" spans="1:9" ht="20.100000000000001" customHeight="1" x14ac:dyDescent="0.2">
      <c r="A99" s="390"/>
      <c r="B99" s="538">
        <v>41</v>
      </c>
      <c r="C99" s="395" t="s">
        <v>451</v>
      </c>
      <c r="D99" s="539" t="s">
        <v>149</v>
      </c>
      <c r="E99" s="546">
        <f>SUM(E101:E107)</f>
        <v>102437</v>
      </c>
      <c r="F99" s="536">
        <f>SUM(F101:F107)</f>
        <v>98201</v>
      </c>
      <c r="G99" s="536">
        <f t="shared" ref="G99:H99" si="22">SUM(G101:G107)</f>
        <v>98201</v>
      </c>
      <c r="H99" s="536">
        <f t="shared" si="22"/>
        <v>65697</v>
      </c>
      <c r="I99" s="526">
        <f t="shared" ref="I99:I100" si="23">H99/G99</f>
        <v>0.6690054072769116</v>
      </c>
    </row>
    <row r="100" spans="1:9" ht="12" customHeight="1" x14ac:dyDescent="0.2">
      <c r="A100" s="390"/>
      <c r="B100" s="538"/>
      <c r="C100" s="397" t="s">
        <v>452</v>
      </c>
      <c r="D100" s="539"/>
      <c r="E100" s="547"/>
      <c r="F100" s="537"/>
      <c r="G100" s="537"/>
      <c r="H100" s="537"/>
      <c r="I100" s="527" t="e">
        <f t="shared" si="23"/>
        <v>#DIV/0!</v>
      </c>
    </row>
    <row r="101" spans="1:9" ht="20.100000000000001" customHeight="1" x14ac:dyDescent="0.2">
      <c r="B101" s="399">
        <v>410</v>
      </c>
      <c r="C101" s="398" t="s">
        <v>453</v>
      </c>
      <c r="D101" s="392" t="s">
        <v>150</v>
      </c>
      <c r="E101" s="50"/>
      <c r="F101" s="51"/>
      <c r="G101" s="50"/>
      <c r="H101" s="31"/>
      <c r="I101" s="350"/>
    </row>
    <row r="102" spans="1:9" ht="36.75" customHeight="1" x14ac:dyDescent="0.2">
      <c r="B102" s="399" t="s">
        <v>454</v>
      </c>
      <c r="C102" s="398" t="s">
        <v>455</v>
      </c>
      <c r="D102" s="392" t="s">
        <v>151</v>
      </c>
      <c r="E102" s="50"/>
      <c r="F102" s="51"/>
      <c r="G102" s="50"/>
      <c r="H102" s="31"/>
      <c r="I102" s="350"/>
    </row>
    <row r="103" spans="1:9" ht="39" customHeight="1" x14ac:dyDescent="0.2">
      <c r="B103" s="399" t="s">
        <v>454</v>
      </c>
      <c r="C103" s="398" t="s">
        <v>456</v>
      </c>
      <c r="D103" s="392" t="s">
        <v>153</v>
      </c>
      <c r="E103" s="50"/>
      <c r="F103" s="51"/>
      <c r="G103" s="50"/>
      <c r="H103" s="31"/>
      <c r="I103" s="350"/>
    </row>
    <row r="104" spans="1:9" ht="25.5" customHeight="1" x14ac:dyDescent="0.2">
      <c r="B104" s="399" t="s">
        <v>457</v>
      </c>
      <c r="C104" s="398" t="s">
        <v>458</v>
      </c>
      <c r="D104" s="392" t="s">
        <v>154</v>
      </c>
      <c r="E104" s="50">
        <v>102437</v>
      </c>
      <c r="F104" s="52">
        <v>98201</v>
      </c>
      <c r="G104" s="50">
        <v>98201</v>
      </c>
      <c r="H104" s="31">
        <v>65697</v>
      </c>
      <c r="I104" s="374">
        <f>H104/G104</f>
        <v>0.6690054072769116</v>
      </c>
    </row>
    <row r="105" spans="1:9" ht="25.5" customHeight="1" x14ac:dyDescent="0.2">
      <c r="B105" s="399" t="s">
        <v>459</v>
      </c>
      <c r="C105" s="398" t="s">
        <v>460</v>
      </c>
      <c r="D105" s="392" t="s">
        <v>155</v>
      </c>
      <c r="E105" s="50"/>
      <c r="F105" s="51"/>
      <c r="G105" s="50"/>
      <c r="H105" s="31"/>
      <c r="I105" s="350"/>
    </row>
    <row r="106" spans="1:9" ht="20.100000000000001" customHeight="1" x14ac:dyDescent="0.2">
      <c r="B106" s="399">
        <v>413</v>
      </c>
      <c r="C106" s="398" t="s">
        <v>461</v>
      </c>
      <c r="D106" s="392" t="s">
        <v>156</v>
      </c>
      <c r="E106" s="50"/>
      <c r="F106" s="51"/>
      <c r="G106" s="50"/>
      <c r="H106" s="31"/>
      <c r="I106" s="350"/>
    </row>
    <row r="107" spans="1:9" ht="20.100000000000001" customHeight="1" x14ac:dyDescent="0.2">
      <c r="B107" s="399">
        <v>419</v>
      </c>
      <c r="C107" s="398" t="s">
        <v>462</v>
      </c>
      <c r="D107" s="392" t="s">
        <v>157</v>
      </c>
      <c r="E107" s="50"/>
      <c r="F107" s="51"/>
      <c r="G107" s="50"/>
      <c r="H107" s="31"/>
      <c r="I107" s="350"/>
    </row>
    <row r="108" spans="1:9" ht="24" customHeight="1" x14ac:dyDescent="0.2">
      <c r="B108" s="399" t="s">
        <v>463</v>
      </c>
      <c r="C108" s="398" t="s">
        <v>464</v>
      </c>
      <c r="D108" s="392" t="s">
        <v>158</v>
      </c>
      <c r="E108" s="50"/>
      <c r="F108" s="51"/>
      <c r="G108" s="50"/>
      <c r="H108" s="31"/>
      <c r="I108" s="350"/>
    </row>
    <row r="109" spans="1:9" ht="20.100000000000001" customHeight="1" x14ac:dyDescent="0.2">
      <c r="B109" s="399">
        <v>498</v>
      </c>
      <c r="C109" s="388" t="s">
        <v>465</v>
      </c>
      <c r="D109" s="392" t="s">
        <v>159</v>
      </c>
      <c r="E109" s="50"/>
      <c r="F109" s="51"/>
      <c r="G109" s="50"/>
      <c r="H109" s="31"/>
      <c r="I109" s="350"/>
    </row>
    <row r="110" spans="1:9" ht="24" customHeight="1" x14ac:dyDescent="0.2">
      <c r="A110" s="390"/>
      <c r="B110" s="391" t="s">
        <v>466</v>
      </c>
      <c r="C110" s="388" t="s">
        <v>467</v>
      </c>
      <c r="D110" s="392" t="s">
        <v>160</v>
      </c>
      <c r="E110" s="50"/>
      <c r="F110" s="51"/>
      <c r="G110" s="50"/>
      <c r="H110" s="31"/>
      <c r="I110" s="350"/>
    </row>
    <row r="111" spans="1:9" ht="23.25" customHeight="1" x14ac:dyDescent="0.2">
      <c r="A111" s="390"/>
      <c r="B111" s="538"/>
      <c r="C111" s="393" t="s">
        <v>468</v>
      </c>
      <c r="D111" s="539" t="s">
        <v>161</v>
      </c>
      <c r="E111" s="546">
        <f>E113+E114+E123+E124+E137+E138+E132</f>
        <v>102421</v>
      </c>
      <c r="F111" s="536">
        <f>F113+F114+F123+F124+F137+F138+F132</f>
        <v>132744</v>
      </c>
      <c r="G111" s="536">
        <f t="shared" ref="G111:H111" si="24">G113+G114+G123+G124+G137+G138+G132</f>
        <v>132744</v>
      </c>
      <c r="H111" s="536">
        <f t="shared" si="24"/>
        <v>105529</v>
      </c>
      <c r="I111" s="526">
        <f t="shared" ref="I111:I112" si="25">H111/G111</f>
        <v>0.7949813174230097</v>
      </c>
    </row>
    <row r="112" spans="1:9" ht="13.5" customHeight="1" x14ac:dyDescent="0.2">
      <c r="A112" s="390"/>
      <c r="B112" s="538"/>
      <c r="C112" s="394" t="s">
        <v>469</v>
      </c>
      <c r="D112" s="539"/>
      <c r="E112" s="547"/>
      <c r="F112" s="537"/>
      <c r="G112" s="537"/>
      <c r="H112" s="537"/>
      <c r="I112" s="527" t="e">
        <f t="shared" si="25"/>
        <v>#DIV/0!</v>
      </c>
    </row>
    <row r="113" spans="1:9" ht="20.100000000000001" customHeight="1" x14ac:dyDescent="0.2">
      <c r="A113" s="390"/>
      <c r="B113" s="391">
        <v>467</v>
      </c>
      <c r="C113" s="398" t="s">
        <v>470</v>
      </c>
      <c r="D113" s="392" t="s">
        <v>162</v>
      </c>
      <c r="E113" s="50"/>
      <c r="F113" s="51"/>
      <c r="G113" s="50"/>
      <c r="H113" s="31"/>
      <c r="I113" s="350"/>
    </row>
    <row r="114" spans="1:9" ht="20.100000000000001" customHeight="1" x14ac:dyDescent="0.2">
      <c r="A114" s="390"/>
      <c r="B114" s="538" t="s">
        <v>471</v>
      </c>
      <c r="C114" s="395" t="s">
        <v>472</v>
      </c>
      <c r="D114" s="539" t="s">
        <v>163</v>
      </c>
      <c r="E114" s="546">
        <f>SUM(E116:E122)</f>
        <v>45692</v>
      </c>
      <c r="F114" s="536">
        <f>SUM(F116:F122)</f>
        <v>64789</v>
      </c>
      <c r="G114" s="536">
        <f t="shared" ref="G114:H114" si="26">SUM(G116:G122)</f>
        <v>64789</v>
      </c>
      <c r="H114" s="536">
        <f t="shared" si="26"/>
        <v>38539</v>
      </c>
      <c r="I114" s="526">
        <f t="shared" ref="I114:I115" si="27">H114/G114</f>
        <v>0.59483863001435433</v>
      </c>
    </row>
    <row r="115" spans="1:9" ht="15" customHeight="1" x14ac:dyDescent="0.2">
      <c r="A115" s="390"/>
      <c r="B115" s="538"/>
      <c r="C115" s="397" t="s">
        <v>473</v>
      </c>
      <c r="D115" s="539"/>
      <c r="E115" s="547"/>
      <c r="F115" s="537"/>
      <c r="G115" s="537"/>
      <c r="H115" s="537"/>
      <c r="I115" s="527" t="e">
        <f t="shared" si="27"/>
        <v>#DIV/0!</v>
      </c>
    </row>
    <row r="116" spans="1:9" ht="25.5" customHeight="1" x14ac:dyDescent="0.2">
      <c r="A116" s="390"/>
      <c r="B116" s="391" t="s">
        <v>474</v>
      </c>
      <c r="C116" s="398" t="s">
        <v>475</v>
      </c>
      <c r="D116" s="392" t="s">
        <v>164</v>
      </c>
      <c r="E116" s="50"/>
      <c r="F116" s="51"/>
      <c r="G116" s="50"/>
      <c r="H116" s="31"/>
      <c r="I116" s="350"/>
    </row>
    <row r="117" spans="1:9" ht="25.5" customHeight="1" x14ac:dyDescent="0.2">
      <c r="B117" s="399" t="s">
        <v>474</v>
      </c>
      <c r="C117" s="398" t="s">
        <v>476</v>
      </c>
      <c r="D117" s="392" t="s">
        <v>165</v>
      </c>
      <c r="E117" s="50"/>
      <c r="F117" s="51"/>
      <c r="G117" s="50"/>
      <c r="H117" s="31"/>
      <c r="I117" s="350"/>
    </row>
    <row r="118" spans="1:9" ht="25.5" customHeight="1" x14ac:dyDescent="0.2">
      <c r="B118" s="399" t="s">
        <v>477</v>
      </c>
      <c r="C118" s="398" t="s">
        <v>478</v>
      </c>
      <c r="D118" s="392" t="s">
        <v>166</v>
      </c>
      <c r="E118" s="50"/>
      <c r="F118" s="51"/>
      <c r="G118" s="50"/>
      <c r="H118" s="31"/>
      <c r="I118" s="350"/>
    </row>
    <row r="119" spans="1:9" ht="24.75" customHeight="1" x14ac:dyDescent="0.2">
      <c r="B119" s="399" t="s">
        <v>479</v>
      </c>
      <c r="C119" s="398" t="s">
        <v>480</v>
      </c>
      <c r="D119" s="392" t="s">
        <v>167</v>
      </c>
      <c r="E119" s="50">
        <v>45692</v>
      </c>
      <c r="F119" s="51">
        <v>64789</v>
      </c>
      <c r="G119" s="50">
        <v>64789</v>
      </c>
      <c r="H119" s="31">
        <v>38539</v>
      </c>
      <c r="I119" s="374">
        <f>H119/G119</f>
        <v>0.59483863001435433</v>
      </c>
    </row>
    <row r="120" spans="1:9" ht="24.75" customHeight="1" x14ac:dyDescent="0.2">
      <c r="B120" s="399" t="s">
        <v>481</v>
      </c>
      <c r="C120" s="398" t="s">
        <v>482</v>
      </c>
      <c r="D120" s="392" t="s">
        <v>168</v>
      </c>
      <c r="E120" s="50"/>
      <c r="F120" s="51"/>
      <c r="G120" s="50"/>
      <c r="H120" s="31"/>
      <c r="I120" s="350"/>
    </row>
    <row r="121" spans="1:9" ht="20.100000000000001" customHeight="1" x14ac:dyDescent="0.2">
      <c r="B121" s="399">
        <v>426</v>
      </c>
      <c r="C121" s="398" t="s">
        <v>483</v>
      </c>
      <c r="D121" s="392" t="s">
        <v>169</v>
      </c>
      <c r="E121" s="50"/>
      <c r="F121" s="51"/>
      <c r="G121" s="50"/>
      <c r="H121" s="31"/>
      <c r="I121" s="350"/>
    </row>
    <row r="122" spans="1:9" ht="20.100000000000001" customHeight="1" x14ac:dyDescent="0.2">
      <c r="B122" s="399">
        <v>428</v>
      </c>
      <c r="C122" s="398" t="s">
        <v>484</v>
      </c>
      <c r="D122" s="392" t="s">
        <v>170</v>
      </c>
      <c r="E122" s="50"/>
      <c r="F122" s="51"/>
      <c r="G122" s="50"/>
      <c r="H122" s="31"/>
      <c r="I122" s="350"/>
    </row>
    <row r="123" spans="1:9" ht="20.100000000000001" customHeight="1" x14ac:dyDescent="0.2">
      <c r="B123" s="399">
        <v>430</v>
      </c>
      <c r="C123" s="398" t="s">
        <v>485</v>
      </c>
      <c r="D123" s="392" t="s">
        <v>171</v>
      </c>
      <c r="E123" s="50"/>
      <c r="F123" s="51"/>
      <c r="G123" s="50"/>
      <c r="H123" s="31">
        <v>1010</v>
      </c>
      <c r="I123" s="350"/>
    </row>
    <row r="124" spans="1:9" ht="20.100000000000001" customHeight="1" x14ac:dyDescent="0.2">
      <c r="A124" s="390"/>
      <c r="B124" s="538" t="s">
        <v>486</v>
      </c>
      <c r="C124" s="395" t="s">
        <v>487</v>
      </c>
      <c r="D124" s="539" t="s">
        <v>172</v>
      </c>
      <c r="E124" s="546">
        <f>SUM(E126:E131)</f>
        <v>24497</v>
      </c>
      <c r="F124" s="536">
        <f>SUM(F126:F131)</f>
        <v>27180</v>
      </c>
      <c r="G124" s="536">
        <f t="shared" ref="G124:H124" si="28">SUM(G126:G131)</f>
        <v>27180</v>
      </c>
      <c r="H124" s="536">
        <f t="shared" si="28"/>
        <v>25895</v>
      </c>
      <c r="I124" s="522">
        <f>H124/G124</f>
        <v>0.95272259013980864</v>
      </c>
    </row>
    <row r="125" spans="1:9" ht="12.75" customHeight="1" x14ac:dyDescent="0.2">
      <c r="A125" s="390"/>
      <c r="B125" s="538"/>
      <c r="C125" s="397" t="s">
        <v>488</v>
      </c>
      <c r="D125" s="539"/>
      <c r="E125" s="547"/>
      <c r="F125" s="537"/>
      <c r="G125" s="537"/>
      <c r="H125" s="537"/>
      <c r="I125" s="523"/>
    </row>
    <row r="126" spans="1:9" ht="24.75" customHeight="1" x14ac:dyDescent="0.2">
      <c r="B126" s="399" t="s">
        <v>489</v>
      </c>
      <c r="C126" s="398" t="s">
        <v>490</v>
      </c>
      <c r="D126" s="392" t="s">
        <v>173</v>
      </c>
      <c r="E126" s="50"/>
      <c r="F126" s="51"/>
      <c r="G126" s="50"/>
      <c r="H126" s="31"/>
      <c r="I126" s="350"/>
    </row>
    <row r="127" spans="1:9" ht="24.75" customHeight="1" x14ac:dyDescent="0.2">
      <c r="B127" s="399" t="s">
        <v>491</v>
      </c>
      <c r="C127" s="398" t="s">
        <v>492</v>
      </c>
      <c r="D127" s="392" t="s">
        <v>174</v>
      </c>
      <c r="E127" s="50"/>
      <c r="F127" s="51"/>
      <c r="G127" s="50"/>
      <c r="H127" s="31"/>
      <c r="I127" s="350"/>
    </row>
    <row r="128" spans="1:9" ht="20.100000000000001" customHeight="1" x14ac:dyDescent="0.2">
      <c r="B128" s="399">
        <v>435</v>
      </c>
      <c r="C128" s="398" t="s">
        <v>493</v>
      </c>
      <c r="D128" s="392" t="s">
        <v>175</v>
      </c>
      <c r="E128" s="50">
        <v>24031</v>
      </c>
      <c r="F128" s="51">
        <v>27000</v>
      </c>
      <c r="G128" s="50">
        <v>27000</v>
      </c>
      <c r="H128" s="31">
        <v>25862</v>
      </c>
      <c r="I128" s="374">
        <f>H128/G128</f>
        <v>0.95785185185185184</v>
      </c>
    </row>
    <row r="129" spans="1:11" ht="20.100000000000001" customHeight="1" x14ac:dyDescent="0.2">
      <c r="B129" s="399">
        <v>436</v>
      </c>
      <c r="C129" s="398" t="s">
        <v>494</v>
      </c>
      <c r="D129" s="392" t="s">
        <v>176</v>
      </c>
      <c r="E129" s="50">
        <v>246</v>
      </c>
      <c r="F129" s="51">
        <v>0</v>
      </c>
      <c r="G129" s="50">
        <v>0</v>
      </c>
      <c r="H129" s="31">
        <v>0</v>
      </c>
      <c r="I129" s="374"/>
    </row>
    <row r="130" spans="1:11" ht="20.100000000000001" customHeight="1" x14ac:dyDescent="0.2">
      <c r="B130" s="399" t="s">
        <v>495</v>
      </c>
      <c r="C130" s="398" t="s">
        <v>496</v>
      </c>
      <c r="D130" s="392" t="s">
        <v>177</v>
      </c>
      <c r="E130" s="50"/>
      <c r="F130" s="51"/>
      <c r="G130" s="50"/>
      <c r="H130" s="31"/>
      <c r="I130" s="374"/>
    </row>
    <row r="131" spans="1:11" ht="20.100000000000001" customHeight="1" x14ac:dyDescent="0.2">
      <c r="B131" s="399" t="s">
        <v>495</v>
      </c>
      <c r="C131" s="398" t="s">
        <v>497</v>
      </c>
      <c r="D131" s="392" t="s">
        <v>178</v>
      </c>
      <c r="E131" s="50">
        <v>220</v>
      </c>
      <c r="F131" s="52">
        <v>180</v>
      </c>
      <c r="G131" s="50">
        <v>180</v>
      </c>
      <c r="H131" s="31">
        <v>33</v>
      </c>
      <c r="I131" s="374">
        <f t="shared" ref="I131" si="29">H131/G131</f>
        <v>0.18333333333333332</v>
      </c>
    </row>
    <row r="132" spans="1:11" ht="20.100000000000001" customHeight="1" x14ac:dyDescent="0.2">
      <c r="A132" s="390"/>
      <c r="B132" s="538" t="s">
        <v>498</v>
      </c>
      <c r="C132" s="395" t="s">
        <v>499</v>
      </c>
      <c r="D132" s="539" t="s">
        <v>179</v>
      </c>
      <c r="E132" s="540">
        <f>SUM(E134:E136)</f>
        <v>30776</v>
      </c>
      <c r="F132" s="540">
        <f>SUM(F134:F136)</f>
        <v>37775</v>
      </c>
      <c r="G132" s="540">
        <f t="shared" ref="G132:H132" si="30">SUM(G134:G136)</f>
        <v>37775</v>
      </c>
      <c r="H132" s="540">
        <f t="shared" si="30"/>
        <v>37647</v>
      </c>
      <c r="I132" s="522">
        <f>H132/G132</f>
        <v>0.99661151555261418</v>
      </c>
    </row>
    <row r="133" spans="1:11" ht="15.75" customHeight="1" x14ac:dyDescent="0.2">
      <c r="A133" s="390"/>
      <c r="B133" s="538"/>
      <c r="C133" s="397" t="s">
        <v>500</v>
      </c>
      <c r="D133" s="539"/>
      <c r="E133" s="541"/>
      <c r="F133" s="541"/>
      <c r="G133" s="541"/>
      <c r="H133" s="541"/>
      <c r="I133" s="523"/>
    </row>
    <row r="134" spans="1:11" ht="20.100000000000001" customHeight="1" x14ac:dyDescent="0.2">
      <c r="B134" s="399" t="s">
        <v>501</v>
      </c>
      <c r="C134" s="398" t="s">
        <v>502</v>
      </c>
      <c r="D134" s="392" t="s">
        <v>180</v>
      </c>
      <c r="E134" s="50">
        <v>30669</v>
      </c>
      <c r="F134" s="51">
        <v>36900</v>
      </c>
      <c r="G134" s="50">
        <v>36900</v>
      </c>
      <c r="H134" s="31">
        <v>36920</v>
      </c>
      <c r="I134" s="374">
        <f>H134/G134</f>
        <v>1.0005420054200542</v>
      </c>
    </row>
    <row r="135" spans="1:11" ht="24.75" customHeight="1" x14ac:dyDescent="0.2">
      <c r="B135" s="399" t="s">
        <v>503</v>
      </c>
      <c r="C135" s="398" t="s">
        <v>504</v>
      </c>
      <c r="D135" s="392" t="s">
        <v>181</v>
      </c>
      <c r="E135" s="50">
        <v>107</v>
      </c>
      <c r="F135" s="51">
        <v>500</v>
      </c>
      <c r="G135" s="50">
        <v>500</v>
      </c>
      <c r="H135" s="31">
        <v>727</v>
      </c>
      <c r="I135" s="374">
        <f>H135/G135</f>
        <v>1.454</v>
      </c>
    </row>
    <row r="136" spans="1:11" ht="20.100000000000001" customHeight="1" x14ac:dyDescent="0.2">
      <c r="B136" s="399">
        <v>481</v>
      </c>
      <c r="C136" s="398" t="s">
        <v>505</v>
      </c>
      <c r="D136" s="392" t="s">
        <v>182</v>
      </c>
      <c r="E136" s="50"/>
      <c r="F136" s="51">
        <v>375</v>
      </c>
      <c r="G136" s="50">
        <v>375</v>
      </c>
      <c r="H136" s="31">
        <v>0</v>
      </c>
      <c r="I136" s="374">
        <f>H136/G136</f>
        <v>0</v>
      </c>
    </row>
    <row r="137" spans="1:11" ht="36.75" customHeight="1" x14ac:dyDescent="0.2">
      <c r="B137" s="399">
        <v>427</v>
      </c>
      <c r="C137" s="398" t="s">
        <v>506</v>
      </c>
      <c r="D137" s="392" t="s">
        <v>183</v>
      </c>
      <c r="E137" s="50"/>
      <c r="F137" s="51"/>
      <c r="G137" s="50"/>
      <c r="H137" s="31"/>
      <c r="I137" s="350"/>
    </row>
    <row r="138" spans="1:11" ht="36.75" customHeight="1" x14ac:dyDescent="0.2">
      <c r="A138" s="390"/>
      <c r="B138" s="391" t="s">
        <v>507</v>
      </c>
      <c r="C138" s="398" t="s">
        <v>508</v>
      </c>
      <c r="D138" s="392" t="s">
        <v>184</v>
      </c>
      <c r="E138" s="50">
        <v>1456</v>
      </c>
      <c r="F138" s="51">
        <v>3000</v>
      </c>
      <c r="G138" s="50">
        <v>3000</v>
      </c>
      <c r="H138" s="31">
        <v>2438</v>
      </c>
      <c r="I138" s="374">
        <f>H138/G138</f>
        <v>0.81266666666666665</v>
      </c>
    </row>
    <row r="139" spans="1:11" ht="20.100000000000001" customHeight="1" x14ac:dyDescent="0.2">
      <c r="A139" s="390"/>
      <c r="B139" s="538"/>
      <c r="C139" s="393" t="s">
        <v>509</v>
      </c>
      <c r="D139" s="539" t="s">
        <v>185</v>
      </c>
      <c r="E139" s="540"/>
      <c r="F139" s="542"/>
      <c r="G139" s="540"/>
      <c r="H139" s="544"/>
      <c r="I139" s="524"/>
    </row>
    <row r="140" spans="1:11" ht="23.25" customHeight="1" x14ac:dyDescent="0.2">
      <c r="A140" s="390"/>
      <c r="B140" s="538"/>
      <c r="C140" s="394" t="s">
        <v>510</v>
      </c>
      <c r="D140" s="539"/>
      <c r="E140" s="541"/>
      <c r="F140" s="543"/>
      <c r="G140" s="541"/>
      <c r="H140" s="545"/>
      <c r="I140" s="525"/>
    </row>
    <row r="141" spans="1:11" ht="20.100000000000001" customHeight="1" x14ac:dyDescent="0.2">
      <c r="A141" s="390"/>
      <c r="B141" s="538"/>
      <c r="C141" s="393" t="s">
        <v>511</v>
      </c>
      <c r="D141" s="539" t="s">
        <v>186</v>
      </c>
      <c r="E141" s="540">
        <f>E77+E92+E109+E111</f>
        <v>771060</v>
      </c>
      <c r="F141" s="540">
        <f>F77+F92+F109+F111</f>
        <v>784079</v>
      </c>
      <c r="G141" s="540">
        <f t="shared" ref="G141:H141" si="31">G77+G92+G109+G111</f>
        <v>784079</v>
      </c>
      <c r="H141" s="540">
        <f t="shared" si="31"/>
        <v>730559</v>
      </c>
      <c r="I141" s="526">
        <f t="shared" ref="I141:I143" si="32">H141/G141</f>
        <v>0.93174157195894802</v>
      </c>
      <c r="J141" s="402"/>
      <c r="K141" s="396"/>
    </row>
    <row r="142" spans="1:11" ht="14.25" customHeight="1" x14ac:dyDescent="0.2">
      <c r="A142" s="390"/>
      <c r="B142" s="538"/>
      <c r="C142" s="394" t="s">
        <v>512</v>
      </c>
      <c r="D142" s="539"/>
      <c r="E142" s="541"/>
      <c r="F142" s="541"/>
      <c r="G142" s="541"/>
      <c r="H142" s="541"/>
      <c r="I142" s="527" t="e">
        <f t="shared" si="32"/>
        <v>#DIV/0!</v>
      </c>
    </row>
    <row r="143" spans="1:11" ht="20.100000000000001" customHeight="1" thickBot="1" x14ac:dyDescent="0.25">
      <c r="A143" s="390"/>
      <c r="B143" s="403">
        <v>89</v>
      </c>
      <c r="C143" s="404" t="s">
        <v>513</v>
      </c>
      <c r="D143" s="405" t="s">
        <v>187</v>
      </c>
      <c r="E143" s="53">
        <v>568034</v>
      </c>
      <c r="F143" s="54">
        <v>550000</v>
      </c>
      <c r="G143" s="53">
        <v>550000</v>
      </c>
      <c r="H143" s="55">
        <v>562680</v>
      </c>
      <c r="I143" s="375">
        <f t="shared" si="32"/>
        <v>1.0230545454545454</v>
      </c>
    </row>
    <row r="144" spans="1:11" x14ac:dyDescent="0.2">
      <c r="E144" s="351"/>
      <c r="F144" s="351">
        <f>F74-F141</f>
        <v>0</v>
      </c>
      <c r="G144" s="351"/>
      <c r="H144" s="351"/>
      <c r="I144" s="406"/>
    </row>
    <row r="145" spans="2:2" x14ac:dyDescent="0.2">
      <c r="B145" s="376" t="s">
        <v>572</v>
      </c>
    </row>
  </sheetData>
  <mergeCells count="134">
    <mergeCell ref="B2:I2"/>
    <mergeCell ref="B11:B12"/>
    <mergeCell ref="D11:D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E11:E12"/>
    <mergeCell ref="B28:B29"/>
    <mergeCell ref="D28:D29"/>
    <mergeCell ref="E28:E29"/>
    <mergeCell ref="F28:F29"/>
    <mergeCell ref="G28:G29"/>
    <mergeCell ref="H28:H29"/>
    <mergeCell ref="B18:B19"/>
    <mergeCell ref="D18:D19"/>
    <mergeCell ref="F18:F19"/>
    <mergeCell ref="G18:G19"/>
    <mergeCell ref="H18:H19"/>
    <mergeCell ref="E18:E19"/>
    <mergeCell ref="B50:B51"/>
    <mergeCell ref="D50:D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E50:E51"/>
    <mergeCell ref="B62:B63"/>
    <mergeCell ref="D62:D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E62:E63"/>
    <mergeCell ref="B92:B93"/>
    <mergeCell ref="D92:D93"/>
    <mergeCell ref="F92:F93"/>
    <mergeCell ref="G92:G93"/>
    <mergeCell ref="H92:H93"/>
    <mergeCell ref="B77:B78"/>
    <mergeCell ref="D77:D78"/>
    <mergeCell ref="F77:F78"/>
    <mergeCell ref="G77:G78"/>
    <mergeCell ref="H77:H78"/>
    <mergeCell ref="E77:E78"/>
    <mergeCell ref="E92:E93"/>
    <mergeCell ref="B99:B100"/>
    <mergeCell ref="D99:D100"/>
    <mergeCell ref="F99:F100"/>
    <mergeCell ref="G99:G100"/>
    <mergeCell ref="H99:H100"/>
    <mergeCell ref="B94:B95"/>
    <mergeCell ref="D94:D95"/>
    <mergeCell ref="F94:F95"/>
    <mergeCell ref="G94:G95"/>
    <mergeCell ref="H94:H95"/>
    <mergeCell ref="E94:E95"/>
    <mergeCell ref="E99:E100"/>
    <mergeCell ref="B114:B115"/>
    <mergeCell ref="D114:D115"/>
    <mergeCell ref="F114:F115"/>
    <mergeCell ref="G114:G115"/>
    <mergeCell ref="H114:H115"/>
    <mergeCell ref="B111:B112"/>
    <mergeCell ref="D111:D112"/>
    <mergeCell ref="F111:F112"/>
    <mergeCell ref="G111:G112"/>
    <mergeCell ref="H111:H112"/>
    <mergeCell ref="E111:E112"/>
    <mergeCell ref="E114:E115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F124:F125"/>
    <mergeCell ref="G124:G125"/>
    <mergeCell ref="H124:H125"/>
    <mergeCell ref="E124:E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50:I51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8"/>
  <sheetViews>
    <sheetView showGridLines="0" topLeftCell="B1" zoomScaleNormal="100" workbookViewId="0">
      <selection activeCell="G14" sqref="G14"/>
    </sheetView>
  </sheetViews>
  <sheetFormatPr defaultRowHeight="15.75" x14ac:dyDescent="0.25"/>
  <cols>
    <col min="1" max="1" width="1.85546875" style="39" customWidth="1"/>
    <col min="2" max="2" width="59.5703125" style="39" customWidth="1"/>
    <col min="3" max="3" width="12.5703125" style="39" customWidth="1"/>
    <col min="4" max="7" width="17.85546875" style="39" customWidth="1"/>
    <col min="8" max="8" width="16.5703125" style="42" customWidth="1"/>
    <col min="9" max="259" width="9.140625" style="39"/>
    <col min="260" max="260" width="3.42578125" style="39" customWidth="1"/>
    <col min="261" max="261" width="59.5703125" style="39" customWidth="1"/>
    <col min="262" max="262" width="12.5703125" style="39" customWidth="1"/>
    <col min="263" max="264" width="17.85546875" style="39" customWidth="1"/>
    <col min="265" max="515" width="9.140625" style="39"/>
    <col min="516" max="516" width="3.42578125" style="39" customWidth="1"/>
    <col min="517" max="517" width="59.5703125" style="39" customWidth="1"/>
    <col min="518" max="518" width="12.5703125" style="39" customWidth="1"/>
    <col min="519" max="520" width="17.85546875" style="39" customWidth="1"/>
    <col min="521" max="771" width="9.140625" style="39"/>
    <col min="772" max="772" width="3.42578125" style="39" customWidth="1"/>
    <col min="773" max="773" width="59.5703125" style="39" customWidth="1"/>
    <col min="774" max="774" width="12.5703125" style="39" customWidth="1"/>
    <col min="775" max="776" width="17.85546875" style="39" customWidth="1"/>
    <col min="777" max="1027" width="9.140625" style="39"/>
    <col min="1028" max="1028" width="3.42578125" style="39" customWidth="1"/>
    <col min="1029" max="1029" width="59.5703125" style="39" customWidth="1"/>
    <col min="1030" max="1030" width="12.5703125" style="39" customWidth="1"/>
    <col min="1031" max="1032" width="17.85546875" style="39" customWidth="1"/>
    <col min="1033" max="1283" width="9.140625" style="39"/>
    <col min="1284" max="1284" width="3.42578125" style="39" customWidth="1"/>
    <col min="1285" max="1285" width="59.5703125" style="39" customWidth="1"/>
    <col min="1286" max="1286" width="12.5703125" style="39" customWidth="1"/>
    <col min="1287" max="1288" width="17.85546875" style="39" customWidth="1"/>
    <col min="1289" max="1539" width="9.140625" style="39"/>
    <col min="1540" max="1540" width="3.42578125" style="39" customWidth="1"/>
    <col min="1541" max="1541" width="59.5703125" style="39" customWidth="1"/>
    <col min="1542" max="1542" width="12.5703125" style="39" customWidth="1"/>
    <col min="1543" max="1544" width="17.85546875" style="39" customWidth="1"/>
    <col min="1545" max="1795" width="9.140625" style="39"/>
    <col min="1796" max="1796" width="3.42578125" style="39" customWidth="1"/>
    <col min="1797" max="1797" width="59.5703125" style="39" customWidth="1"/>
    <col min="1798" max="1798" width="12.5703125" style="39" customWidth="1"/>
    <col min="1799" max="1800" width="17.85546875" style="39" customWidth="1"/>
    <col min="1801" max="2051" width="9.140625" style="39"/>
    <col min="2052" max="2052" width="3.42578125" style="39" customWidth="1"/>
    <col min="2053" max="2053" width="59.5703125" style="39" customWidth="1"/>
    <col min="2054" max="2054" width="12.5703125" style="39" customWidth="1"/>
    <col min="2055" max="2056" width="17.85546875" style="39" customWidth="1"/>
    <col min="2057" max="2307" width="9.140625" style="39"/>
    <col min="2308" max="2308" width="3.42578125" style="39" customWidth="1"/>
    <col min="2309" max="2309" width="59.5703125" style="39" customWidth="1"/>
    <col min="2310" max="2310" width="12.5703125" style="39" customWidth="1"/>
    <col min="2311" max="2312" width="17.85546875" style="39" customWidth="1"/>
    <col min="2313" max="2563" width="9.140625" style="39"/>
    <col min="2564" max="2564" width="3.42578125" style="39" customWidth="1"/>
    <col min="2565" max="2565" width="59.5703125" style="39" customWidth="1"/>
    <col min="2566" max="2566" width="12.5703125" style="39" customWidth="1"/>
    <col min="2567" max="2568" width="17.85546875" style="39" customWidth="1"/>
    <col min="2569" max="2819" width="9.140625" style="39"/>
    <col min="2820" max="2820" width="3.42578125" style="39" customWidth="1"/>
    <col min="2821" max="2821" width="59.5703125" style="39" customWidth="1"/>
    <col min="2822" max="2822" width="12.5703125" style="39" customWidth="1"/>
    <col min="2823" max="2824" width="17.85546875" style="39" customWidth="1"/>
    <col min="2825" max="3075" width="9.140625" style="39"/>
    <col min="3076" max="3076" width="3.42578125" style="39" customWidth="1"/>
    <col min="3077" max="3077" width="59.5703125" style="39" customWidth="1"/>
    <col min="3078" max="3078" width="12.5703125" style="39" customWidth="1"/>
    <col min="3079" max="3080" width="17.85546875" style="39" customWidth="1"/>
    <col min="3081" max="3331" width="9.140625" style="39"/>
    <col min="3332" max="3332" width="3.42578125" style="39" customWidth="1"/>
    <col min="3333" max="3333" width="59.5703125" style="39" customWidth="1"/>
    <col min="3334" max="3334" width="12.5703125" style="39" customWidth="1"/>
    <col min="3335" max="3336" width="17.85546875" style="39" customWidth="1"/>
    <col min="3337" max="3587" width="9.140625" style="39"/>
    <col min="3588" max="3588" width="3.42578125" style="39" customWidth="1"/>
    <col min="3589" max="3589" width="59.5703125" style="39" customWidth="1"/>
    <col min="3590" max="3590" width="12.5703125" style="39" customWidth="1"/>
    <col min="3591" max="3592" width="17.85546875" style="39" customWidth="1"/>
    <col min="3593" max="3843" width="9.140625" style="39"/>
    <col min="3844" max="3844" width="3.42578125" style="39" customWidth="1"/>
    <col min="3845" max="3845" width="59.5703125" style="39" customWidth="1"/>
    <col min="3846" max="3846" width="12.5703125" style="39" customWidth="1"/>
    <col min="3847" max="3848" width="17.85546875" style="39" customWidth="1"/>
    <col min="3849" max="4099" width="9.140625" style="39"/>
    <col min="4100" max="4100" width="3.42578125" style="39" customWidth="1"/>
    <col min="4101" max="4101" width="59.5703125" style="39" customWidth="1"/>
    <col min="4102" max="4102" width="12.5703125" style="39" customWidth="1"/>
    <col min="4103" max="4104" width="17.85546875" style="39" customWidth="1"/>
    <col min="4105" max="4355" width="9.140625" style="39"/>
    <col min="4356" max="4356" width="3.42578125" style="39" customWidth="1"/>
    <col min="4357" max="4357" width="59.5703125" style="39" customWidth="1"/>
    <col min="4358" max="4358" width="12.5703125" style="39" customWidth="1"/>
    <col min="4359" max="4360" width="17.85546875" style="39" customWidth="1"/>
    <col min="4361" max="4611" width="9.140625" style="39"/>
    <col min="4612" max="4612" width="3.42578125" style="39" customWidth="1"/>
    <col min="4613" max="4613" width="59.5703125" style="39" customWidth="1"/>
    <col min="4614" max="4614" width="12.5703125" style="39" customWidth="1"/>
    <col min="4615" max="4616" width="17.85546875" style="39" customWidth="1"/>
    <col min="4617" max="4867" width="9.140625" style="39"/>
    <col min="4868" max="4868" width="3.42578125" style="39" customWidth="1"/>
    <col min="4869" max="4869" width="59.5703125" style="39" customWidth="1"/>
    <col min="4870" max="4870" width="12.5703125" style="39" customWidth="1"/>
    <col min="4871" max="4872" width="17.85546875" style="39" customWidth="1"/>
    <col min="4873" max="5123" width="9.140625" style="39"/>
    <col min="5124" max="5124" width="3.42578125" style="39" customWidth="1"/>
    <col min="5125" max="5125" width="59.5703125" style="39" customWidth="1"/>
    <col min="5126" max="5126" width="12.5703125" style="39" customWidth="1"/>
    <col min="5127" max="5128" width="17.85546875" style="39" customWidth="1"/>
    <col min="5129" max="5379" width="9.140625" style="39"/>
    <col min="5380" max="5380" width="3.42578125" style="39" customWidth="1"/>
    <col min="5381" max="5381" width="59.5703125" style="39" customWidth="1"/>
    <col min="5382" max="5382" width="12.5703125" style="39" customWidth="1"/>
    <col min="5383" max="5384" width="17.85546875" style="39" customWidth="1"/>
    <col min="5385" max="5635" width="9.140625" style="39"/>
    <col min="5636" max="5636" width="3.42578125" style="39" customWidth="1"/>
    <col min="5637" max="5637" width="59.5703125" style="39" customWidth="1"/>
    <col min="5638" max="5638" width="12.5703125" style="39" customWidth="1"/>
    <col min="5639" max="5640" width="17.85546875" style="39" customWidth="1"/>
    <col min="5641" max="5891" width="9.140625" style="39"/>
    <col min="5892" max="5892" width="3.42578125" style="39" customWidth="1"/>
    <col min="5893" max="5893" width="59.5703125" style="39" customWidth="1"/>
    <col min="5894" max="5894" width="12.5703125" style="39" customWidth="1"/>
    <col min="5895" max="5896" width="17.85546875" style="39" customWidth="1"/>
    <col min="5897" max="6147" width="9.140625" style="39"/>
    <col min="6148" max="6148" width="3.42578125" style="39" customWidth="1"/>
    <col min="6149" max="6149" width="59.5703125" style="39" customWidth="1"/>
    <col min="6150" max="6150" width="12.5703125" style="39" customWidth="1"/>
    <col min="6151" max="6152" width="17.85546875" style="39" customWidth="1"/>
    <col min="6153" max="6403" width="9.140625" style="39"/>
    <col min="6404" max="6404" width="3.42578125" style="39" customWidth="1"/>
    <col min="6405" max="6405" width="59.5703125" style="39" customWidth="1"/>
    <col min="6406" max="6406" width="12.5703125" style="39" customWidth="1"/>
    <col min="6407" max="6408" width="17.85546875" style="39" customWidth="1"/>
    <col min="6409" max="6659" width="9.140625" style="39"/>
    <col min="6660" max="6660" width="3.42578125" style="39" customWidth="1"/>
    <col min="6661" max="6661" width="59.5703125" style="39" customWidth="1"/>
    <col min="6662" max="6662" width="12.5703125" style="39" customWidth="1"/>
    <col min="6663" max="6664" width="17.85546875" style="39" customWidth="1"/>
    <col min="6665" max="6915" width="9.140625" style="39"/>
    <col min="6916" max="6916" width="3.42578125" style="39" customWidth="1"/>
    <col min="6917" max="6917" width="59.5703125" style="39" customWidth="1"/>
    <col min="6918" max="6918" width="12.5703125" style="39" customWidth="1"/>
    <col min="6919" max="6920" width="17.85546875" style="39" customWidth="1"/>
    <col min="6921" max="7171" width="9.140625" style="39"/>
    <col min="7172" max="7172" width="3.42578125" style="39" customWidth="1"/>
    <col min="7173" max="7173" width="59.5703125" style="39" customWidth="1"/>
    <col min="7174" max="7174" width="12.5703125" style="39" customWidth="1"/>
    <col min="7175" max="7176" width="17.85546875" style="39" customWidth="1"/>
    <col min="7177" max="7427" width="9.140625" style="39"/>
    <col min="7428" max="7428" width="3.42578125" style="39" customWidth="1"/>
    <col min="7429" max="7429" width="59.5703125" style="39" customWidth="1"/>
    <col min="7430" max="7430" width="12.5703125" style="39" customWidth="1"/>
    <col min="7431" max="7432" width="17.85546875" style="39" customWidth="1"/>
    <col min="7433" max="7683" width="9.140625" style="39"/>
    <col min="7684" max="7684" width="3.42578125" style="39" customWidth="1"/>
    <col min="7685" max="7685" width="59.5703125" style="39" customWidth="1"/>
    <col min="7686" max="7686" width="12.5703125" style="39" customWidth="1"/>
    <col min="7687" max="7688" width="17.85546875" style="39" customWidth="1"/>
    <col min="7689" max="7939" width="9.140625" style="39"/>
    <col min="7940" max="7940" width="3.42578125" style="39" customWidth="1"/>
    <col min="7941" max="7941" width="59.5703125" style="39" customWidth="1"/>
    <col min="7942" max="7942" width="12.5703125" style="39" customWidth="1"/>
    <col min="7943" max="7944" width="17.85546875" style="39" customWidth="1"/>
    <col min="7945" max="8195" width="9.140625" style="39"/>
    <col min="8196" max="8196" width="3.42578125" style="39" customWidth="1"/>
    <col min="8197" max="8197" width="59.5703125" style="39" customWidth="1"/>
    <col min="8198" max="8198" width="12.5703125" style="39" customWidth="1"/>
    <col min="8199" max="8200" width="17.85546875" style="39" customWidth="1"/>
    <col min="8201" max="8451" width="9.140625" style="39"/>
    <col min="8452" max="8452" width="3.42578125" style="39" customWidth="1"/>
    <col min="8453" max="8453" width="59.5703125" style="39" customWidth="1"/>
    <col min="8454" max="8454" width="12.5703125" style="39" customWidth="1"/>
    <col min="8455" max="8456" width="17.85546875" style="39" customWidth="1"/>
    <col min="8457" max="8707" width="9.140625" style="39"/>
    <col min="8708" max="8708" width="3.42578125" style="39" customWidth="1"/>
    <col min="8709" max="8709" width="59.5703125" style="39" customWidth="1"/>
    <col min="8710" max="8710" width="12.5703125" style="39" customWidth="1"/>
    <col min="8711" max="8712" width="17.85546875" style="39" customWidth="1"/>
    <col min="8713" max="8963" width="9.140625" style="39"/>
    <col min="8964" max="8964" width="3.42578125" style="39" customWidth="1"/>
    <col min="8965" max="8965" width="59.5703125" style="39" customWidth="1"/>
    <col min="8966" max="8966" width="12.5703125" style="39" customWidth="1"/>
    <col min="8967" max="8968" width="17.85546875" style="39" customWidth="1"/>
    <col min="8969" max="9219" width="9.140625" style="39"/>
    <col min="9220" max="9220" width="3.42578125" style="39" customWidth="1"/>
    <col min="9221" max="9221" width="59.5703125" style="39" customWidth="1"/>
    <col min="9222" max="9222" width="12.5703125" style="39" customWidth="1"/>
    <col min="9223" max="9224" width="17.85546875" style="39" customWidth="1"/>
    <col min="9225" max="9475" width="9.140625" style="39"/>
    <col min="9476" max="9476" width="3.42578125" style="39" customWidth="1"/>
    <col min="9477" max="9477" width="59.5703125" style="39" customWidth="1"/>
    <col min="9478" max="9478" width="12.5703125" style="39" customWidth="1"/>
    <col min="9479" max="9480" width="17.85546875" style="39" customWidth="1"/>
    <col min="9481" max="9731" width="9.140625" style="39"/>
    <col min="9732" max="9732" width="3.42578125" style="39" customWidth="1"/>
    <col min="9733" max="9733" width="59.5703125" style="39" customWidth="1"/>
    <col min="9734" max="9734" width="12.5703125" style="39" customWidth="1"/>
    <col min="9735" max="9736" width="17.85546875" style="39" customWidth="1"/>
    <col min="9737" max="9987" width="9.140625" style="39"/>
    <col min="9988" max="9988" width="3.42578125" style="39" customWidth="1"/>
    <col min="9989" max="9989" width="59.5703125" style="39" customWidth="1"/>
    <col min="9990" max="9990" width="12.5703125" style="39" customWidth="1"/>
    <col min="9991" max="9992" width="17.85546875" style="39" customWidth="1"/>
    <col min="9993" max="10243" width="9.140625" style="39"/>
    <col min="10244" max="10244" width="3.42578125" style="39" customWidth="1"/>
    <col min="10245" max="10245" width="59.5703125" style="39" customWidth="1"/>
    <col min="10246" max="10246" width="12.5703125" style="39" customWidth="1"/>
    <col min="10247" max="10248" width="17.85546875" style="39" customWidth="1"/>
    <col min="10249" max="10499" width="9.140625" style="39"/>
    <col min="10500" max="10500" width="3.42578125" style="39" customWidth="1"/>
    <col min="10501" max="10501" width="59.5703125" style="39" customWidth="1"/>
    <col min="10502" max="10502" width="12.5703125" style="39" customWidth="1"/>
    <col min="10503" max="10504" width="17.85546875" style="39" customWidth="1"/>
    <col min="10505" max="10755" width="9.140625" style="39"/>
    <col min="10756" max="10756" width="3.42578125" style="39" customWidth="1"/>
    <col min="10757" max="10757" width="59.5703125" style="39" customWidth="1"/>
    <col min="10758" max="10758" width="12.5703125" style="39" customWidth="1"/>
    <col min="10759" max="10760" width="17.85546875" style="39" customWidth="1"/>
    <col min="10761" max="11011" width="9.140625" style="39"/>
    <col min="11012" max="11012" width="3.42578125" style="39" customWidth="1"/>
    <col min="11013" max="11013" width="59.5703125" style="39" customWidth="1"/>
    <col min="11014" max="11014" width="12.5703125" style="39" customWidth="1"/>
    <col min="11015" max="11016" width="17.85546875" style="39" customWidth="1"/>
    <col min="11017" max="11267" width="9.140625" style="39"/>
    <col min="11268" max="11268" width="3.42578125" style="39" customWidth="1"/>
    <col min="11269" max="11269" width="59.5703125" style="39" customWidth="1"/>
    <col min="11270" max="11270" width="12.5703125" style="39" customWidth="1"/>
    <col min="11271" max="11272" width="17.85546875" style="39" customWidth="1"/>
    <col min="11273" max="11523" width="9.140625" style="39"/>
    <col min="11524" max="11524" width="3.42578125" style="39" customWidth="1"/>
    <col min="11525" max="11525" width="59.5703125" style="39" customWidth="1"/>
    <col min="11526" max="11526" width="12.5703125" style="39" customWidth="1"/>
    <col min="11527" max="11528" width="17.85546875" style="39" customWidth="1"/>
    <col min="11529" max="11779" width="9.140625" style="39"/>
    <col min="11780" max="11780" width="3.42578125" style="39" customWidth="1"/>
    <col min="11781" max="11781" width="59.5703125" style="39" customWidth="1"/>
    <col min="11782" max="11782" width="12.5703125" style="39" customWidth="1"/>
    <col min="11783" max="11784" width="17.85546875" style="39" customWidth="1"/>
    <col min="11785" max="12035" width="9.140625" style="39"/>
    <col min="12036" max="12036" width="3.42578125" style="39" customWidth="1"/>
    <col min="12037" max="12037" width="59.5703125" style="39" customWidth="1"/>
    <col min="12038" max="12038" width="12.5703125" style="39" customWidth="1"/>
    <col min="12039" max="12040" width="17.85546875" style="39" customWidth="1"/>
    <col min="12041" max="12291" width="9.140625" style="39"/>
    <col min="12292" max="12292" width="3.42578125" style="39" customWidth="1"/>
    <col min="12293" max="12293" width="59.5703125" style="39" customWidth="1"/>
    <col min="12294" max="12294" width="12.5703125" style="39" customWidth="1"/>
    <col min="12295" max="12296" width="17.85546875" style="39" customWidth="1"/>
    <col min="12297" max="12547" width="9.140625" style="39"/>
    <col min="12548" max="12548" width="3.42578125" style="39" customWidth="1"/>
    <col min="12549" max="12549" width="59.5703125" style="39" customWidth="1"/>
    <col min="12550" max="12550" width="12.5703125" style="39" customWidth="1"/>
    <col min="12551" max="12552" width="17.85546875" style="39" customWidth="1"/>
    <col min="12553" max="12803" width="9.140625" style="39"/>
    <col min="12804" max="12804" width="3.42578125" style="39" customWidth="1"/>
    <col min="12805" max="12805" width="59.5703125" style="39" customWidth="1"/>
    <col min="12806" max="12806" width="12.5703125" style="39" customWidth="1"/>
    <col min="12807" max="12808" width="17.85546875" style="39" customWidth="1"/>
    <col min="12809" max="13059" width="9.140625" style="39"/>
    <col min="13060" max="13060" width="3.42578125" style="39" customWidth="1"/>
    <col min="13061" max="13061" width="59.5703125" style="39" customWidth="1"/>
    <col min="13062" max="13062" width="12.5703125" style="39" customWidth="1"/>
    <col min="13063" max="13064" width="17.85546875" style="39" customWidth="1"/>
    <col min="13065" max="13315" width="9.140625" style="39"/>
    <col min="13316" max="13316" width="3.42578125" style="39" customWidth="1"/>
    <col min="13317" max="13317" width="59.5703125" style="39" customWidth="1"/>
    <col min="13318" max="13318" width="12.5703125" style="39" customWidth="1"/>
    <col min="13319" max="13320" width="17.85546875" style="39" customWidth="1"/>
    <col min="13321" max="13571" width="9.140625" style="39"/>
    <col min="13572" max="13572" width="3.42578125" style="39" customWidth="1"/>
    <col min="13573" max="13573" width="59.5703125" style="39" customWidth="1"/>
    <col min="13574" max="13574" width="12.5703125" style="39" customWidth="1"/>
    <col min="13575" max="13576" width="17.85546875" style="39" customWidth="1"/>
    <col min="13577" max="13827" width="9.140625" style="39"/>
    <col min="13828" max="13828" width="3.42578125" style="39" customWidth="1"/>
    <col min="13829" max="13829" width="59.5703125" style="39" customWidth="1"/>
    <col min="13830" max="13830" width="12.5703125" style="39" customWidth="1"/>
    <col min="13831" max="13832" width="17.85546875" style="39" customWidth="1"/>
    <col min="13833" max="14083" width="9.140625" style="39"/>
    <col min="14084" max="14084" width="3.42578125" style="39" customWidth="1"/>
    <col min="14085" max="14085" width="59.5703125" style="39" customWidth="1"/>
    <col min="14086" max="14086" width="12.5703125" style="39" customWidth="1"/>
    <col min="14087" max="14088" width="17.85546875" style="39" customWidth="1"/>
    <col min="14089" max="14339" width="9.140625" style="39"/>
    <col min="14340" max="14340" width="3.42578125" style="39" customWidth="1"/>
    <col min="14341" max="14341" width="59.5703125" style="39" customWidth="1"/>
    <col min="14342" max="14342" width="12.5703125" style="39" customWidth="1"/>
    <col min="14343" max="14344" width="17.85546875" style="39" customWidth="1"/>
    <col min="14345" max="14595" width="9.140625" style="39"/>
    <col min="14596" max="14596" width="3.42578125" style="39" customWidth="1"/>
    <col min="14597" max="14597" width="59.5703125" style="39" customWidth="1"/>
    <col min="14598" max="14598" width="12.5703125" style="39" customWidth="1"/>
    <col min="14599" max="14600" width="17.85546875" style="39" customWidth="1"/>
    <col min="14601" max="14851" width="9.140625" style="39"/>
    <col min="14852" max="14852" width="3.42578125" style="39" customWidth="1"/>
    <col min="14853" max="14853" width="59.5703125" style="39" customWidth="1"/>
    <col min="14854" max="14854" width="12.5703125" style="39" customWidth="1"/>
    <col min="14855" max="14856" width="17.85546875" style="39" customWidth="1"/>
    <col min="14857" max="15107" width="9.140625" style="39"/>
    <col min="15108" max="15108" width="3.42578125" style="39" customWidth="1"/>
    <col min="15109" max="15109" width="59.5703125" style="39" customWidth="1"/>
    <col min="15110" max="15110" width="12.5703125" style="39" customWidth="1"/>
    <col min="15111" max="15112" width="17.85546875" style="39" customWidth="1"/>
    <col min="15113" max="15363" width="9.140625" style="39"/>
    <col min="15364" max="15364" width="3.42578125" style="39" customWidth="1"/>
    <col min="15365" max="15365" width="59.5703125" style="39" customWidth="1"/>
    <col min="15366" max="15366" width="12.5703125" style="39" customWidth="1"/>
    <col min="15367" max="15368" width="17.85546875" style="39" customWidth="1"/>
    <col min="15369" max="15619" width="9.140625" style="39"/>
    <col min="15620" max="15620" width="3.42578125" style="39" customWidth="1"/>
    <col min="15621" max="15621" width="59.5703125" style="39" customWidth="1"/>
    <col min="15622" max="15622" width="12.5703125" style="39" customWidth="1"/>
    <col min="15623" max="15624" width="17.85546875" style="39" customWidth="1"/>
    <col min="15625" max="15875" width="9.140625" style="39"/>
    <col min="15876" max="15876" width="3.42578125" style="39" customWidth="1"/>
    <col min="15877" max="15877" width="59.5703125" style="39" customWidth="1"/>
    <col min="15878" max="15878" width="12.5703125" style="39" customWidth="1"/>
    <col min="15879" max="15880" width="17.85546875" style="39" customWidth="1"/>
    <col min="15881" max="16131" width="9.140625" style="39"/>
    <col min="16132" max="16132" width="3.42578125" style="39" customWidth="1"/>
    <col min="16133" max="16133" width="59.5703125" style="39" customWidth="1"/>
    <col min="16134" max="16134" width="12.5703125" style="39" customWidth="1"/>
    <col min="16135" max="16136" width="17.85546875" style="39" customWidth="1"/>
    <col min="16137" max="16384" width="9.140625" style="39"/>
  </cols>
  <sheetData>
    <row r="1" spans="1:12" x14ac:dyDescent="0.25">
      <c r="E1" s="58"/>
      <c r="G1" s="58"/>
      <c r="H1" s="41" t="s">
        <v>570</v>
      </c>
    </row>
    <row r="2" spans="1:12" ht="21.75" customHeight="1" x14ac:dyDescent="0.25">
      <c r="B2" s="567" t="s">
        <v>64</v>
      </c>
      <c r="C2" s="567"/>
      <c r="D2" s="567"/>
      <c r="E2" s="567"/>
      <c r="F2" s="567"/>
      <c r="G2" s="567"/>
      <c r="H2" s="567"/>
    </row>
    <row r="3" spans="1:12" ht="14.25" customHeight="1" x14ac:dyDescent="0.25">
      <c r="B3" s="568" t="s">
        <v>770</v>
      </c>
      <c r="C3" s="568"/>
      <c r="D3" s="568"/>
      <c r="E3" s="568"/>
      <c r="F3" s="568"/>
      <c r="G3" s="568"/>
      <c r="H3" s="568"/>
    </row>
    <row r="4" spans="1:12" ht="14.25" customHeight="1" thickBot="1" x14ac:dyDescent="0.3">
      <c r="B4" s="59"/>
      <c r="C4" s="59"/>
      <c r="D4" s="59"/>
      <c r="E4" s="59"/>
      <c r="F4" s="59"/>
      <c r="G4" s="59"/>
      <c r="H4" s="43" t="s">
        <v>124</v>
      </c>
    </row>
    <row r="5" spans="1:12" ht="24.75" customHeight="1" thickBot="1" x14ac:dyDescent="0.3">
      <c r="B5" s="571" t="s">
        <v>514</v>
      </c>
      <c r="C5" s="528" t="s">
        <v>80</v>
      </c>
      <c r="D5" s="556" t="s">
        <v>737</v>
      </c>
      <c r="E5" s="557" t="s">
        <v>738</v>
      </c>
      <c r="F5" s="559" t="s">
        <v>771</v>
      </c>
      <c r="G5" s="560"/>
      <c r="H5" s="565" t="s">
        <v>772</v>
      </c>
    </row>
    <row r="6" spans="1:12" ht="25.5" customHeight="1" x14ac:dyDescent="0.25">
      <c r="A6" s="45"/>
      <c r="B6" s="572"/>
      <c r="C6" s="529"/>
      <c r="D6" s="529"/>
      <c r="E6" s="558"/>
      <c r="F6" s="60" t="s">
        <v>0</v>
      </c>
      <c r="G6" s="61" t="s">
        <v>562</v>
      </c>
      <c r="H6" s="566"/>
    </row>
    <row r="7" spans="1:12" ht="16.5" thickBot="1" x14ac:dyDescent="0.3">
      <c r="A7" s="46"/>
      <c r="B7" s="48">
        <v>1</v>
      </c>
      <c r="C7" s="47">
        <v>2</v>
      </c>
      <c r="D7" s="62"/>
      <c r="E7" s="355"/>
      <c r="F7" s="62">
        <v>3</v>
      </c>
      <c r="G7" s="63">
        <v>4</v>
      </c>
      <c r="H7" s="49">
        <v>8</v>
      </c>
    </row>
    <row r="8" spans="1:12" s="69" customFormat="1" ht="20.100000000000001" customHeight="1" x14ac:dyDescent="0.25">
      <c r="A8" s="64"/>
      <c r="B8" s="65" t="s">
        <v>515</v>
      </c>
      <c r="C8" s="66"/>
      <c r="D8" s="353"/>
      <c r="E8" s="348"/>
      <c r="F8" s="354"/>
      <c r="G8" s="67"/>
      <c r="H8" s="68"/>
    </row>
    <row r="9" spans="1:12" s="69" customFormat="1" ht="20.100000000000001" customHeight="1" x14ac:dyDescent="0.25">
      <c r="A9" s="64"/>
      <c r="B9" s="70" t="s">
        <v>516</v>
      </c>
      <c r="C9" s="71">
        <v>3001</v>
      </c>
      <c r="D9" s="413">
        <f t="shared" ref="D9:G9" si="0">SUM(D10:D13)</f>
        <v>882861</v>
      </c>
      <c r="E9" s="413">
        <f t="shared" si="0"/>
        <v>1111400</v>
      </c>
      <c r="F9" s="413">
        <f t="shared" si="0"/>
        <v>1111400</v>
      </c>
      <c r="G9" s="413">
        <f t="shared" si="0"/>
        <v>809482</v>
      </c>
      <c r="H9" s="409">
        <f>G9/F9</f>
        <v>0.7283444304480835</v>
      </c>
    </row>
    <row r="10" spans="1:12" s="69" customFormat="1" ht="20.100000000000001" customHeight="1" x14ac:dyDescent="0.25">
      <c r="A10" s="64"/>
      <c r="B10" s="72" t="s">
        <v>517</v>
      </c>
      <c r="C10" s="71">
        <v>3002</v>
      </c>
      <c r="D10" s="410">
        <v>871150</v>
      </c>
      <c r="E10" s="414">
        <v>1061100</v>
      </c>
      <c r="F10" s="411">
        <v>1061100</v>
      </c>
      <c r="G10" s="412">
        <v>785433</v>
      </c>
      <c r="H10" s="409">
        <f>G10/F10</f>
        <v>0.74020638959570262</v>
      </c>
    </row>
    <row r="11" spans="1:12" s="69" customFormat="1" ht="20.100000000000001" customHeight="1" x14ac:dyDescent="0.25">
      <c r="A11" s="64"/>
      <c r="B11" s="72" t="s">
        <v>518</v>
      </c>
      <c r="C11" s="71">
        <v>3003</v>
      </c>
      <c r="D11" s="410"/>
      <c r="E11" s="415"/>
      <c r="F11" s="411"/>
      <c r="G11" s="412"/>
      <c r="H11" s="409"/>
    </row>
    <row r="12" spans="1:12" s="69" customFormat="1" ht="20.100000000000001" customHeight="1" x14ac:dyDescent="0.25">
      <c r="A12" s="64"/>
      <c r="B12" s="72" t="s">
        <v>519</v>
      </c>
      <c r="C12" s="71">
        <v>3004</v>
      </c>
      <c r="D12" s="410">
        <v>3024</v>
      </c>
      <c r="E12" s="415">
        <v>5300</v>
      </c>
      <c r="F12" s="411">
        <v>5300</v>
      </c>
      <c r="G12" s="412">
        <v>1955</v>
      </c>
      <c r="H12" s="409">
        <f t="shared" ref="H12:H62" si="1">G12/F12</f>
        <v>0.36886792452830186</v>
      </c>
    </row>
    <row r="13" spans="1:12" s="69" customFormat="1" ht="20.100000000000001" customHeight="1" x14ac:dyDescent="0.25">
      <c r="A13" s="64"/>
      <c r="B13" s="72" t="s">
        <v>520</v>
      </c>
      <c r="C13" s="71">
        <v>3005</v>
      </c>
      <c r="D13" s="410">
        <v>8687</v>
      </c>
      <c r="E13" s="416">
        <v>45000</v>
      </c>
      <c r="F13" s="411">
        <v>45000</v>
      </c>
      <c r="G13" s="412">
        <v>22094</v>
      </c>
      <c r="H13" s="409">
        <f t="shared" si="1"/>
        <v>0.49097777777777779</v>
      </c>
      <c r="L13" s="460"/>
    </row>
    <row r="14" spans="1:12" s="69" customFormat="1" ht="20.100000000000001" customHeight="1" x14ac:dyDescent="0.25">
      <c r="A14" s="64"/>
      <c r="B14" s="70" t="s">
        <v>521</v>
      </c>
      <c r="C14" s="71">
        <v>3006</v>
      </c>
      <c r="D14" s="416">
        <f t="shared" ref="D14:G14" si="2">SUM(D15:D22)</f>
        <v>736906</v>
      </c>
      <c r="E14" s="416">
        <f t="shared" si="2"/>
        <v>1030611</v>
      </c>
      <c r="F14" s="416">
        <f t="shared" si="2"/>
        <v>1030611</v>
      </c>
      <c r="G14" s="416">
        <f t="shared" si="2"/>
        <v>727426</v>
      </c>
      <c r="H14" s="409">
        <f t="shared" si="1"/>
        <v>0.70582013970353508</v>
      </c>
    </row>
    <row r="15" spans="1:12" s="69" customFormat="1" ht="20.100000000000001" customHeight="1" x14ac:dyDescent="0.25">
      <c r="A15" s="64"/>
      <c r="B15" s="72" t="s">
        <v>522</v>
      </c>
      <c r="C15" s="71">
        <v>3007</v>
      </c>
      <c r="D15" s="410">
        <v>331649</v>
      </c>
      <c r="E15" s="415">
        <v>495021</v>
      </c>
      <c r="F15" s="411">
        <v>495021</v>
      </c>
      <c r="G15" s="412">
        <v>295176</v>
      </c>
      <c r="H15" s="409">
        <f t="shared" si="1"/>
        <v>0.59628985436981463</v>
      </c>
    </row>
    <row r="16" spans="1:12" s="69" customFormat="1" ht="20.100000000000001" customHeight="1" x14ac:dyDescent="0.25">
      <c r="A16" s="64"/>
      <c r="B16" s="72" t="s">
        <v>523</v>
      </c>
      <c r="C16" s="71">
        <v>3008</v>
      </c>
      <c r="D16" s="410">
        <v>984</v>
      </c>
      <c r="E16" s="415">
        <v>990</v>
      </c>
      <c r="F16" s="411">
        <v>990</v>
      </c>
      <c r="G16" s="412">
        <v>570</v>
      </c>
      <c r="H16" s="409">
        <f t="shared" si="1"/>
        <v>0.5757575757575758</v>
      </c>
    </row>
    <row r="17" spans="1:8" s="69" customFormat="1" ht="20.100000000000001" customHeight="1" x14ac:dyDescent="0.25">
      <c r="A17" s="64"/>
      <c r="B17" s="72" t="s">
        <v>524</v>
      </c>
      <c r="C17" s="71">
        <v>3009</v>
      </c>
      <c r="D17" s="410">
        <v>380937</v>
      </c>
      <c r="E17" s="415">
        <v>470000</v>
      </c>
      <c r="F17" s="411">
        <v>470000</v>
      </c>
      <c r="G17" s="412">
        <v>403949</v>
      </c>
      <c r="H17" s="409">
        <f t="shared" si="1"/>
        <v>0.85946595744680854</v>
      </c>
    </row>
    <row r="18" spans="1:8" s="69" customFormat="1" ht="20.100000000000001" customHeight="1" x14ac:dyDescent="0.25">
      <c r="A18" s="64"/>
      <c r="B18" s="72" t="s">
        <v>525</v>
      </c>
      <c r="C18" s="71">
        <v>3010</v>
      </c>
      <c r="D18" s="410">
        <v>8648</v>
      </c>
      <c r="E18" s="415">
        <v>8500</v>
      </c>
      <c r="F18" s="411">
        <v>8500</v>
      </c>
      <c r="G18" s="412">
        <v>7036</v>
      </c>
      <c r="H18" s="409">
        <f t="shared" si="1"/>
        <v>0.82776470588235296</v>
      </c>
    </row>
    <row r="19" spans="1:8" s="69" customFormat="1" ht="20.100000000000001" customHeight="1" x14ac:dyDescent="0.25">
      <c r="A19" s="64"/>
      <c r="B19" s="72" t="s">
        <v>526</v>
      </c>
      <c r="C19" s="71">
        <v>3011</v>
      </c>
      <c r="D19" s="410"/>
      <c r="E19" s="417"/>
      <c r="F19" s="411"/>
      <c r="G19" s="412"/>
      <c r="H19" s="409"/>
    </row>
    <row r="20" spans="1:8" s="69" customFormat="1" ht="20.100000000000001" customHeight="1" x14ac:dyDescent="0.25">
      <c r="A20" s="64"/>
      <c r="B20" s="72" t="s">
        <v>527</v>
      </c>
      <c r="C20" s="71">
        <v>3012</v>
      </c>
      <c r="D20" s="410">
        <v>6478</v>
      </c>
      <c r="E20" s="415">
        <v>6000</v>
      </c>
      <c r="F20" s="411">
        <v>6000</v>
      </c>
      <c r="G20" s="412">
        <v>2779</v>
      </c>
      <c r="H20" s="409">
        <f t="shared" si="1"/>
        <v>0.46316666666666667</v>
      </c>
    </row>
    <row r="21" spans="1:8" s="69" customFormat="1" ht="20.100000000000001" customHeight="1" x14ac:dyDescent="0.25">
      <c r="A21" s="64"/>
      <c r="B21" s="72" t="s">
        <v>528</v>
      </c>
      <c r="C21" s="71">
        <v>3013</v>
      </c>
      <c r="D21" s="410">
        <v>2202</v>
      </c>
      <c r="E21" s="415">
        <v>21000</v>
      </c>
      <c r="F21" s="411">
        <v>21000</v>
      </c>
      <c r="G21" s="412">
        <v>13634</v>
      </c>
      <c r="H21" s="409">
        <f t="shared" si="1"/>
        <v>0.64923809523809528</v>
      </c>
    </row>
    <row r="22" spans="1:8" s="69" customFormat="1" ht="20.100000000000001" customHeight="1" x14ac:dyDescent="0.25">
      <c r="A22" s="64"/>
      <c r="B22" s="72" t="s">
        <v>529</v>
      </c>
      <c r="C22" s="71">
        <v>3014</v>
      </c>
      <c r="D22" s="410">
        <v>6008</v>
      </c>
      <c r="E22" s="414">
        <v>29100</v>
      </c>
      <c r="F22" s="411">
        <v>29100</v>
      </c>
      <c r="G22" s="412">
        <v>4282</v>
      </c>
      <c r="H22" s="409">
        <f t="shared" si="1"/>
        <v>0.14714776632302407</v>
      </c>
    </row>
    <row r="23" spans="1:8" s="69" customFormat="1" ht="20.100000000000001" customHeight="1" x14ac:dyDescent="0.25">
      <c r="A23" s="64"/>
      <c r="B23" s="72" t="s">
        <v>530</v>
      </c>
      <c r="C23" s="71">
        <v>3015</v>
      </c>
      <c r="D23" s="415">
        <f>D9-D14</f>
        <v>145955</v>
      </c>
      <c r="E23" s="415">
        <f t="shared" ref="E23:G23" si="3">E9-E14</f>
        <v>80789</v>
      </c>
      <c r="F23" s="415">
        <f t="shared" si="3"/>
        <v>80789</v>
      </c>
      <c r="G23" s="415">
        <f t="shared" si="3"/>
        <v>82056</v>
      </c>
      <c r="H23" s="409">
        <f t="shared" si="1"/>
        <v>1.015682828107787</v>
      </c>
    </row>
    <row r="24" spans="1:8" s="69" customFormat="1" ht="20.100000000000001" customHeight="1" x14ac:dyDescent="0.25">
      <c r="A24" s="64"/>
      <c r="B24" s="72" t="s">
        <v>531</v>
      </c>
      <c r="C24" s="71">
        <v>3016</v>
      </c>
      <c r="D24" s="410"/>
      <c r="E24" s="415"/>
      <c r="F24" s="411"/>
      <c r="G24" s="412"/>
      <c r="H24" s="409"/>
    </row>
    <row r="25" spans="1:8" s="69" customFormat="1" ht="20.100000000000001" customHeight="1" x14ac:dyDescent="0.25">
      <c r="A25" s="64"/>
      <c r="B25" s="70" t="s">
        <v>532</v>
      </c>
      <c r="C25" s="71"/>
      <c r="D25" s="410"/>
      <c r="E25" s="415"/>
      <c r="F25" s="411"/>
      <c r="G25" s="412"/>
      <c r="H25" s="409"/>
    </row>
    <row r="26" spans="1:8" s="69" customFormat="1" ht="20.100000000000001" customHeight="1" x14ac:dyDescent="0.25">
      <c r="A26" s="64"/>
      <c r="B26" s="70" t="s">
        <v>188</v>
      </c>
      <c r="C26" s="71">
        <v>3017</v>
      </c>
      <c r="D26" s="416">
        <f t="shared" ref="D26:G26" si="4">SUM(D27:D31)</f>
        <v>4141</v>
      </c>
      <c r="E26" s="416">
        <f t="shared" si="4"/>
        <v>0</v>
      </c>
      <c r="F26" s="416">
        <f t="shared" si="4"/>
        <v>0</v>
      </c>
      <c r="G26" s="416">
        <f t="shared" si="4"/>
        <v>4298</v>
      </c>
      <c r="H26" s="409"/>
    </row>
    <row r="27" spans="1:8" s="69" customFormat="1" ht="20.100000000000001" customHeight="1" x14ac:dyDescent="0.25">
      <c r="A27" s="64"/>
      <c r="B27" s="72" t="s">
        <v>533</v>
      </c>
      <c r="C27" s="71">
        <v>3018</v>
      </c>
      <c r="D27" s="410"/>
      <c r="E27" s="416"/>
      <c r="F27" s="411"/>
      <c r="G27" s="412"/>
      <c r="H27" s="409"/>
    </row>
    <row r="28" spans="1:8" s="69" customFormat="1" ht="27.75" customHeight="1" x14ac:dyDescent="0.25">
      <c r="A28" s="64"/>
      <c r="B28" s="72" t="s">
        <v>534</v>
      </c>
      <c r="C28" s="71">
        <v>3019</v>
      </c>
      <c r="D28" s="410"/>
      <c r="E28" s="416"/>
      <c r="F28" s="411"/>
      <c r="G28" s="412"/>
      <c r="H28" s="409"/>
    </row>
    <row r="29" spans="1:8" s="69" customFormat="1" ht="20.100000000000001" customHeight="1" x14ac:dyDescent="0.25">
      <c r="A29" s="64"/>
      <c r="B29" s="72" t="s">
        <v>535</v>
      </c>
      <c r="C29" s="71">
        <v>3020</v>
      </c>
      <c r="D29" s="410">
        <v>4141</v>
      </c>
      <c r="E29" s="416"/>
      <c r="F29" s="411"/>
      <c r="G29" s="412">
        <v>4298</v>
      </c>
      <c r="H29" s="409"/>
    </row>
    <row r="30" spans="1:8" s="69" customFormat="1" ht="20.100000000000001" customHeight="1" x14ac:dyDescent="0.25">
      <c r="A30" s="64"/>
      <c r="B30" s="72" t="s">
        <v>536</v>
      </c>
      <c r="C30" s="71">
        <v>3021</v>
      </c>
      <c r="D30" s="410"/>
      <c r="E30" s="416"/>
      <c r="F30" s="411"/>
      <c r="G30" s="412"/>
      <c r="H30" s="409"/>
    </row>
    <row r="31" spans="1:8" s="69" customFormat="1" ht="20.100000000000001" customHeight="1" x14ac:dyDescent="0.25">
      <c r="A31" s="64"/>
      <c r="B31" s="72" t="s">
        <v>65</v>
      </c>
      <c r="C31" s="71">
        <v>3022</v>
      </c>
      <c r="D31" s="410"/>
      <c r="E31" s="416"/>
      <c r="F31" s="411"/>
      <c r="G31" s="412"/>
      <c r="H31" s="409"/>
    </row>
    <row r="32" spans="1:8" s="69" customFormat="1" ht="20.100000000000001" customHeight="1" x14ac:dyDescent="0.25">
      <c r="A32" s="64"/>
      <c r="B32" s="70" t="s">
        <v>189</v>
      </c>
      <c r="C32" s="71">
        <v>3023</v>
      </c>
      <c r="D32" s="418">
        <v>106777</v>
      </c>
      <c r="E32" s="418">
        <f>SUM(E33:E35)</f>
        <v>102000</v>
      </c>
      <c r="F32" s="418">
        <f>SUM(F33:F35)</f>
        <v>102000</v>
      </c>
      <c r="G32" s="418">
        <f>SUM(G33:G35)</f>
        <v>55335</v>
      </c>
      <c r="H32" s="409">
        <f t="shared" si="1"/>
        <v>0.54249999999999998</v>
      </c>
    </row>
    <row r="33" spans="1:8" s="69" customFormat="1" ht="20.100000000000001" customHeight="1" x14ac:dyDescent="0.25">
      <c r="A33" s="64"/>
      <c r="B33" s="72" t="s">
        <v>537</v>
      </c>
      <c r="C33" s="71">
        <v>3024</v>
      </c>
      <c r="D33" s="410"/>
      <c r="E33" s="416"/>
      <c r="F33" s="411"/>
      <c r="G33" s="412"/>
      <c r="H33" s="409"/>
    </row>
    <row r="34" spans="1:8" s="69" customFormat="1" ht="34.5" customHeight="1" x14ac:dyDescent="0.25">
      <c r="A34" s="64"/>
      <c r="B34" s="72" t="s">
        <v>538</v>
      </c>
      <c r="C34" s="71">
        <v>3025</v>
      </c>
      <c r="D34" s="410">
        <v>102817</v>
      </c>
      <c r="E34" s="416">
        <v>102000</v>
      </c>
      <c r="F34" s="411">
        <v>102000</v>
      </c>
      <c r="G34" s="412">
        <v>51295</v>
      </c>
      <c r="H34" s="409">
        <f t="shared" si="1"/>
        <v>0.50289215686274513</v>
      </c>
    </row>
    <row r="35" spans="1:8" s="69" customFormat="1" ht="20.100000000000001" customHeight="1" x14ac:dyDescent="0.25">
      <c r="A35" s="64"/>
      <c r="B35" s="72" t="s">
        <v>539</v>
      </c>
      <c r="C35" s="71">
        <v>3026</v>
      </c>
      <c r="D35" s="410">
        <v>3960</v>
      </c>
      <c r="E35" s="419"/>
      <c r="F35" s="411"/>
      <c r="G35" s="412">
        <v>4040</v>
      </c>
      <c r="H35" s="409"/>
    </row>
    <row r="36" spans="1:8" s="69" customFormat="1" ht="20.100000000000001" customHeight="1" x14ac:dyDescent="0.25">
      <c r="A36" s="64"/>
      <c r="B36" s="72" t="s">
        <v>540</v>
      </c>
      <c r="C36" s="71">
        <v>3027</v>
      </c>
      <c r="D36" s="410"/>
      <c r="E36" s="416"/>
      <c r="F36" s="411"/>
      <c r="G36" s="412"/>
      <c r="H36" s="409"/>
    </row>
    <row r="37" spans="1:8" s="69" customFormat="1" ht="20.100000000000001" customHeight="1" x14ac:dyDescent="0.25">
      <c r="A37" s="64"/>
      <c r="B37" s="72" t="s">
        <v>541</v>
      </c>
      <c r="C37" s="71">
        <v>3028</v>
      </c>
      <c r="D37" s="416">
        <f>D32-D26</f>
        <v>102636</v>
      </c>
      <c r="E37" s="416">
        <f>E32-E26</f>
        <v>102000</v>
      </c>
      <c r="F37" s="416">
        <f>F32-F26</f>
        <v>102000</v>
      </c>
      <c r="G37" s="416">
        <f>G32-G26</f>
        <v>51037</v>
      </c>
      <c r="H37" s="409">
        <f t="shared" si="1"/>
        <v>0.50036274509803924</v>
      </c>
    </row>
    <row r="38" spans="1:8" s="69" customFormat="1" ht="22.5" customHeight="1" x14ac:dyDescent="0.25">
      <c r="A38" s="64"/>
      <c r="B38" s="70" t="s">
        <v>542</v>
      </c>
      <c r="C38" s="71"/>
      <c r="D38" s="410"/>
      <c r="E38" s="416"/>
      <c r="F38" s="411"/>
      <c r="G38" s="412"/>
      <c r="H38" s="409"/>
    </row>
    <row r="39" spans="1:8" s="69" customFormat="1" ht="20.100000000000001" customHeight="1" x14ac:dyDescent="0.25">
      <c r="A39" s="64"/>
      <c r="B39" s="70" t="s">
        <v>543</v>
      </c>
      <c r="C39" s="71">
        <v>3029</v>
      </c>
      <c r="D39" s="416">
        <f t="shared" ref="D39:G39" si="5">SUM(D40:D46)</f>
        <v>81783</v>
      </c>
      <c r="E39" s="416">
        <f t="shared" si="5"/>
        <v>70000</v>
      </c>
      <c r="F39" s="416">
        <f t="shared" si="5"/>
        <v>70000</v>
      </c>
      <c r="G39" s="416">
        <f t="shared" si="5"/>
        <v>5999</v>
      </c>
      <c r="H39" s="409">
        <f>G39/F39</f>
        <v>8.5699999999999998E-2</v>
      </c>
    </row>
    <row r="40" spans="1:8" s="69" customFormat="1" ht="20.100000000000001" customHeight="1" x14ac:dyDescent="0.25">
      <c r="A40" s="64"/>
      <c r="B40" s="72" t="s">
        <v>66</v>
      </c>
      <c r="C40" s="71">
        <v>3030</v>
      </c>
      <c r="D40" s="410"/>
      <c r="E40" s="416"/>
      <c r="F40" s="411"/>
      <c r="G40" s="412"/>
      <c r="H40" s="409"/>
    </row>
    <row r="41" spans="1:8" s="69" customFormat="1" ht="20.100000000000001" customHeight="1" x14ac:dyDescent="0.25">
      <c r="A41" s="64"/>
      <c r="B41" s="72" t="s">
        <v>544</v>
      </c>
      <c r="C41" s="71">
        <v>3031</v>
      </c>
      <c r="D41" s="410">
        <v>74600</v>
      </c>
      <c r="E41" s="416">
        <v>60000</v>
      </c>
      <c r="F41" s="411">
        <v>60000</v>
      </c>
      <c r="G41" s="412">
        <v>1805</v>
      </c>
      <c r="H41" s="409">
        <f t="shared" ref="H41" si="6">G41/F41</f>
        <v>3.0083333333333333E-2</v>
      </c>
    </row>
    <row r="42" spans="1:8" s="69" customFormat="1" ht="20.100000000000001" customHeight="1" x14ac:dyDescent="0.25">
      <c r="A42" s="64"/>
      <c r="B42" s="72" t="s">
        <v>545</v>
      </c>
      <c r="C42" s="71">
        <v>3032</v>
      </c>
      <c r="D42" s="410"/>
      <c r="E42" s="416"/>
      <c r="F42" s="411"/>
      <c r="G42" s="412"/>
      <c r="H42" s="409"/>
    </row>
    <row r="43" spans="1:8" s="69" customFormat="1" ht="20.100000000000001" customHeight="1" x14ac:dyDescent="0.25">
      <c r="A43" s="64"/>
      <c r="B43" s="72" t="s">
        <v>546</v>
      </c>
      <c r="C43" s="71">
        <v>3033</v>
      </c>
      <c r="D43" s="410"/>
      <c r="E43" s="416">
        <v>10000</v>
      </c>
      <c r="F43" s="411">
        <v>10000</v>
      </c>
      <c r="G43" s="412"/>
      <c r="H43" s="409"/>
    </row>
    <row r="44" spans="1:8" s="69" customFormat="1" ht="20.100000000000001" customHeight="1" x14ac:dyDescent="0.25">
      <c r="A44" s="64"/>
      <c r="B44" s="72" t="s">
        <v>547</v>
      </c>
      <c r="C44" s="71">
        <v>3034</v>
      </c>
      <c r="D44" s="410"/>
      <c r="E44" s="416"/>
      <c r="F44" s="411"/>
      <c r="G44" s="412"/>
      <c r="H44" s="409"/>
    </row>
    <row r="45" spans="1:8" s="69" customFormat="1" ht="20.100000000000001" customHeight="1" x14ac:dyDescent="0.25">
      <c r="A45" s="64"/>
      <c r="B45" s="72" t="s">
        <v>548</v>
      </c>
      <c r="C45" s="71">
        <v>3035</v>
      </c>
      <c r="D45" s="410">
        <v>7183</v>
      </c>
      <c r="E45" s="416"/>
      <c r="F45" s="411"/>
      <c r="G45" s="412">
        <v>4194</v>
      </c>
      <c r="H45" s="409"/>
    </row>
    <row r="46" spans="1:8" s="69" customFormat="1" ht="20.100000000000001" customHeight="1" x14ac:dyDescent="0.25">
      <c r="A46" s="64"/>
      <c r="B46" s="72" t="s">
        <v>549</v>
      </c>
      <c r="C46" s="71">
        <v>3036</v>
      </c>
      <c r="D46" s="410"/>
      <c r="E46" s="416"/>
      <c r="F46" s="411"/>
      <c r="G46" s="412"/>
      <c r="H46" s="409"/>
    </row>
    <row r="47" spans="1:8" s="69" customFormat="1" ht="20.100000000000001" customHeight="1" x14ac:dyDescent="0.25">
      <c r="A47" s="64"/>
      <c r="B47" s="70" t="s">
        <v>550</v>
      </c>
      <c r="C47" s="71">
        <v>3037</v>
      </c>
      <c r="D47" s="416">
        <f t="shared" ref="D47:G47" si="7">SUM(D48:D55)</f>
        <v>85310</v>
      </c>
      <c r="E47" s="416">
        <f t="shared" si="7"/>
        <v>54789</v>
      </c>
      <c r="F47" s="416">
        <f t="shared" si="7"/>
        <v>54789</v>
      </c>
      <c r="G47" s="416">
        <f t="shared" si="7"/>
        <v>64808</v>
      </c>
      <c r="H47" s="409">
        <f t="shared" si="1"/>
        <v>1.1828651736662468</v>
      </c>
    </row>
    <row r="48" spans="1:8" s="69" customFormat="1" ht="20.100000000000001" customHeight="1" x14ac:dyDescent="0.25">
      <c r="A48" s="64"/>
      <c r="B48" s="72" t="s">
        <v>551</v>
      </c>
      <c r="C48" s="71">
        <v>3038</v>
      </c>
      <c r="D48" s="410"/>
      <c r="E48" s="416"/>
      <c r="F48" s="411"/>
      <c r="G48" s="412"/>
      <c r="H48" s="409"/>
    </row>
    <row r="49" spans="1:8" s="69" customFormat="1" ht="20.100000000000001" customHeight="1" x14ac:dyDescent="0.25">
      <c r="A49" s="64"/>
      <c r="B49" s="72" t="s">
        <v>544</v>
      </c>
      <c r="C49" s="71">
        <v>3039</v>
      </c>
      <c r="D49" s="410">
        <v>39868</v>
      </c>
      <c r="E49" s="416">
        <v>54789</v>
      </c>
      <c r="F49" s="411">
        <v>54789</v>
      </c>
      <c r="G49" s="412">
        <v>46004</v>
      </c>
      <c r="H49" s="409">
        <f t="shared" si="1"/>
        <v>0.83965759550274688</v>
      </c>
    </row>
    <row r="50" spans="1:8" s="69" customFormat="1" ht="20.100000000000001" customHeight="1" x14ac:dyDescent="0.25">
      <c r="A50" s="64"/>
      <c r="B50" s="72" t="s">
        <v>545</v>
      </c>
      <c r="C50" s="71">
        <v>3040</v>
      </c>
      <c r="D50" s="410"/>
      <c r="E50" s="416"/>
      <c r="F50" s="411"/>
      <c r="G50" s="412"/>
      <c r="H50" s="409"/>
    </row>
    <row r="51" spans="1:8" s="69" customFormat="1" ht="20.100000000000001" customHeight="1" x14ac:dyDescent="0.25">
      <c r="A51" s="64"/>
      <c r="B51" s="72" t="s">
        <v>546</v>
      </c>
      <c r="C51" s="71">
        <v>3041</v>
      </c>
      <c r="D51" s="410"/>
      <c r="E51" s="418"/>
      <c r="F51" s="411"/>
      <c r="G51" s="412"/>
      <c r="H51" s="409"/>
    </row>
    <row r="52" spans="1:8" s="69" customFormat="1" ht="20.100000000000001" customHeight="1" x14ac:dyDescent="0.25">
      <c r="A52" s="64"/>
      <c r="B52" s="72" t="s">
        <v>547</v>
      </c>
      <c r="C52" s="71">
        <v>3042</v>
      </c>
      <c r="D52" s="410"/>
      <c r="E52" s="416"/>
      <c r="F52" s="411"/>
      <c r="G52" s="412"/>
      <c r="H52" s="409"/>
    </row>
    <row r="53" spans="1:8" s="69" customFormat="1" ht="20.100000000000001" customHeight="1" x14ac:dyDescent="0.25">
      <c r="A53" s="64"/>
      <c r="B53" s="72" t="s">
        <v>552</v>
      </c>
      <c r="C53" s="71">
        <v>3043</v>
      </c>
      <c r="D53" s="410"/>
      <c r="E53" s="416"/>
      <c r="F53" s="411"/>
      <c r="G53" s="412"/>
      <c r="H53" s="409"/>
    </row>
    <row r="54" spans="1:8" s="69" customFormat="1" ht="20.100000000000001" customHeight="1" x14ac:dyDescent="0.25">
      <c r="A54" s="64"/>
      <c r="B54" s="72" t="s">
        <v>553</v>
      </c>
      <c r="C54" s="71">
        <v>3044</v>
      </c>
      <c r="D54" s="410"/>
      <c r="E54" s="416"/>
      <c r="F54" s="411"/>
      <c r="G54" s="412"/>
      <c r="H54" s="409"/>
    </row>
    <row r="55" spans="1:8" s="69" customFormat="1" ht="20.100000000000001" customHeight="1" x14ac:dyDescent="0.25">
      <c r="A55" s="64"/>
      <c r="B55" s="72" t="s">
        <v>554</v>
      </c>
      <c r="C55" s="71">
        <v>3045</v>
      </c>
      <c r="D55" s="410">
        <v>45442</v>
      </c>
      <c r="E55" s="416"/>
      <c r="F55" s="411"/>
      <c r="G55" s="412">
        <v>18804</v>
      </c>
      <c r="H55" s="409"/>
    </row>
    <row r="56" spans="1:8" s="69" customFormat="1" ht="20.100000000000001" customHeight="1" x14ac:dyDescent="0.25">
      <c r="A56" s="64"/>
      <c r="B56" s="72" t="s">
        <v>555</v>
      </c>
      <c r="C56" s="71">
        <v>3046</v>
      </c>
      <c r="D56" s="416"/>
      <c r="E56" s="416">
        <f t="shared" ref="E56:F56" si="8">E39-E47</f>
        <v>15211</v>
      </c>
      <c r="F56" s="416">
        <f t="shared" si="8"/>
        <v>15211</v>
      </c>
      <c r="G56" s="416"/>
      <c r="H56" s="409"/>
    </row>
    <row r="57" spans="1:8" s="69" customFormat="1" ht="20.100000000000001" customHeight="1" x14ac:dyDescent="0.25">
      <c r="A57" s="64"/>
      <c r="B57" s="72" t="s">
        <v>556</v>
      </c>
      <c r="C57" s="71">
        <v>3047</v>
      </c>
      <c r="D57" s="410">
        <f>D47-D39</f>
        <v>3527</v>
      </c>
      <c r="E57" s="416"/>
      <c r="F57" s="412"/>
      <c r="G57" s="412">
        <f>G47-G39</f>
        <v>58809</v>
      </c>
      <c r="H57" s="409"/>
    </row>
    <row r="58" spans="1:8" s="69" customFormat="1" ht="20.100000000000001" customHeight="1" x14ac:dyDescent="0.25">
      <c r="A58" s="64"/>
      <c r="B58" s="70" t="s">
        <v>563</v>
      </c>
      <c r="C58" s="71">
        <v>3048</v>
      </c>
      <c r="D58" s="416">
        <f t="shared" ref="D58:G58" si="9">D9+D26+D39</f>
        <v>968785</v>
      </c>
      <c r="E58" s="416">
        <f t="shared" si="9"/>
        <v>1181400</v>
      </c>
      <c r="F58" s="416">
        <f t="shared" si="9"/>
        <v>1181400</v>
      </c>
      <c r="G58" s="416">
        <f t="shared" si="9"/>
        <v>819779</v>
      </c>
      <c r="H58" s="409">
        <f t="shared" si="1"/>
        <v>0.69390468935161675</v>
      </c>
    </row>
    <row r="59" spans="1:8" s="69" customFormat="1" ht="20.100000000000001" customHeight="1" x14ac:dyDescent="0.25">
      <c r="A59" s="64"/>
      <c r="B59" s="70" t="s">
        <v>564</v>
      </c>
      <c r="C59" s="71">
        <v>3049</v>
      </c>
      <c r="D59" s="416">
        <f>D14+D32+D47</f>
        <v>928993</v>
      </c>
      <c r="E59" s="416">
        <f>E14+E32+E47</f>
        <v>1187400</v>
      </c>
      <c r="F59" s="416">
        <f t="shared" ref="F59:G59" si="10">F14+F32+F47</f>
        <v>1187400</v>
      </c>
      <c r="G59" s="416">
        <f t="shared" si="10"/>
        <v>847569</v>
      </c>
      <c r="H59" s="409">
        <f t="shared" si="1"/>
        <v>0.7138024254674078</v>
      </c>
    </row>
    <row r="60" spans="1:8" s="69" customFormat="1" ht="20.100000000000001" customHeight="1" x14ac:dyDescent="0.25">
      <c r="A60" s="64"/>
      <c r="B60" s="70" t="s">
        <v>565</v>
      </c>
      <c r="C60" s="71">
        <v>3050</v>
      </c>
      <c r="D60" s="416">
        <f>D58-D59</f>
        <v>39792</v>
      </c>
      <c r="E60" s="416"/>
      <c r="F60" s="416">
        <v>0</v>
      </c>
      <c r="G60" s="416"/>
      <c r="H60" s="409"/>
    </row>
    <row r="61" spans="1:8" s="69" customFormat="1" ht="20.100000000000001" customHeight="1" x14ac:dyDescent="0.25">
      <c r="A61" s="64"/>
      <c r="B61" s="70" t="s">
        <v>566</v>
      </c>
      <c r="C61" s="71">
        <v>3051</v>
      </c>
      <c r="D61" s="420"/>
      <c r="E61" s="420">
        <f t="shared" ref="E61" si="11">E59-E58</f>
        <v>6000</v>
      </c>
      <c r="F61" s="420">
        <v>6000</v>
      </c>
      <c r="G61" s="420">
        <f>G59-G58</f>
        <v>27790</v>
      </c>
      <c r="H61" s="409">
        <f t="shared" si="1"/>
        <v>4.6316666666666668</v>
      </c>
    </row>
    <row r="62" spans="1:8" s="69" customFormat="1" ht="20.100000000000001" customHeight="1" x14ac:dyDescent="0.25">
      <c r="A62" s="64"/>
      <c r="B62" s="70" t="s">
        <v>557</v>
      </c>
      <c r="C62" s="71">
        <v>3052</v>
      </c>
      <c r="D62" s="410">
        <v>13830</v>
      </c>
      <c r="E62" s="416">
        <v>25000</v>
      </c>
      <c r="F62" s="411">
        <v>25000</v>
      </c>
      <c r="G62" s="412">
        <v>53619</v>
      </c>
      <c r="H62" s="409">
        <f t="shared" si="1"/>
        <v>2.1447600000000002</v>
      </c>
    </row>
    <row r="63" spans="1:8" s="69" customFormat="1" ht="24" customHeight="1" x14ac:dyDescent="0.25">
      <c r="A63" s="64"/>
      <c r="B63" s="70" t="s">
        <v>558</v>
      </c>
      <c r="C63" s="71">
        <v>3053</v>
      </c>
      <c r="D63" s="410">
        <v>2</v>
      </c>
      <c r="E63" s="416"/>
      <c r="F63" s="411"/>
      <c r="G63" s="412">
        <v>2</v>
      </c>
      <c r="H63" s="409"/>
    </row>
    <row r="64" spans="1:8" s="69" customFormat="1" ht="24" customHeight="1" x14ac:dyDescent="0.25">
      <c r="A64" s="64"/>
      <c r="B64" s="70" t="s">
        <v>559</v>
      </c>
      <c r="C64" s="71">
        <v>3054</v>
      </c>
      <c r="D64" s="410">
        <v>5</v>
      </c>
      <c r="E64" s="416"/>
      <c r="F64" s="411"/>
      <c r="G64" s="412"/>
      <c r="H64" s="409"/>
    </row>
    <row r="65" spans="2:8" s="69" customFormat="1" ht="20.100000000000001" customHeight="1" x14ac:dyDescent="0.25">
      <c r="B65" s="73" t="s">
        <v>560</v>
      </c>
      <c r="C65" s="569">
        <v>3055</v>
      </c>
      <c r="D65" s="563">
        <f>D60-D61+D62+D63-D64</f>
        <v>53619</v>
      </c>
      <c r="E65" s="563">
        <f t="shared" ref="E65" si="12">E60-E61+E62+E63-E64</f>
        <v>19000</v>
      </c>
      <c r="F65" s="563">
        <v>19000</v>
      </c>
      <c r="G65" s="563">
        <f t="shared" ref="G65" si="13">G60-G61+G62+G63-G64</f>
        <v>25831</v>
      </c>
      <c r="H65" s="561">
        <f>G65/F65</f>
        <v>1.3595263157894737</v>
      </c>
    </row>
    <row r="66" spans="2:8" s="69" customFormat="1" ht="13.5" customHeight="1" thickBot="1" x14ac:dyDescent="0.3">
      <c r="B66" s="74" t="s">
        <v>561</v>
      </c>
      <c r="C66" s="570"/>
      <c r="D66" s="564"/>
      <c r="E66" s="564"/>
      <c r="F66" s="564"/>
      <c r="G66" s="564"/>
      <c r="H66" s="562"/>
    </row>
    <row r="67" spans="2:8" x14ac:dyDescent="0.25">
      <c r="H67" s="75" t="str">
        <f t="shared" ref="H67:H68" si="14">IFERROR(G67/F67,"  ")</f>
        <v xml:space="preserve">  </v>
      </c>
    </row>
    <row r="68" spans="2:8" x14ac:dyDescent="0.25">
      <c r="H68" s="75" t="str">
        <f t="shared" si="14"/>
        <v xml:space="preserve">  </v>
      </c>
    </row>
    <row r="69" spans="2:8" x14ac:dyDescent="0.25">
      <c r="H69" s="75" t="str">
        <f t="shared" ref="H69:H132" si="15">IFERROR(G69/F69,"  ")</f>
        <v xml:space="preserve">  </v>
      </c>
    </row>
    <row r="70" spans="2:8" x14ac:dyDescent="0.25">
      <c r="H70" s="75" t="str">
        <f t="shared" si="15"/>
        <v xml:space="preserve">  </v>
      </c>
    </row>
    <row r="71" spans="2:8" x14ac:dyDescent="0.25">
      <c r="H71" s="75" t="str">
        <f t="shared" si="15"/>
        <v xml:space="preserve">  </v>
      </c>
    </row>
    <row r="72" spans="2:8" x14ac:dyDescent="0.25">
      <c r="H72" s="75" t="str">
        <f t="shared" si="15"/>
        <v xml:space="preserve">  </v>
      </c>
    </row>
    <row r="73" spans="2:8" x14ac:dyDescent="0.25">
      <c r="H73" s="555" t="str">
        <f t="shared" si="15"/>
        <v xml:space="preserve">  </v>
      </c>
    </row>
    <row r="74" spans="2:8" x14ac:dyDescent="0.25">
      <c r="H74" s="555" t="str">
        <f t="shared" si="15"/>
        <v xml:space="preserve">  </v>
      </c>
    </row>
    <row r="75" spans="2:8" x14ac:dyDescent="0.25">
      <c r="H75" s="75" t="str">
        <f t="shared" si="15"/>
        <v xml:space="preserve">  </v>
      </c>
    </row>
    <row r="76" spans="2:8" x14ac:dyDescent="0.25">
      <c r="H76" s="75" t="str">
        <f t="shared" si="15"/>
        <v xml:space="preserve">  </v>
      </c>
    </row>
    <row r="77" spans="2:8" x14ac:dyDescent="0.25">
      <c r="H77" s="75" t="str">
        <f t="shared" si="15"/>
        <v xml:space="preserve">  </v>
      </c>
    </row>
    <row r="78" spans="2:8" x14ac:dyDescent="0.25">
      <c r="H78" s="75" t="str">
        <f t="shared" si="15"/>
        <v xml:space="preserve">  </v>
      </c>
    </row>
    <row r="79" spans="2:8" x14ac:dyDescent="0.25">
      <c r="H79" s="75" t="str">
        <f t="shared" si="15"/>
        <v xml:space="preserve">  </v>
      </c>
    </row>
    <row r="80" spans="2:8" x14ac:dyDescent="0.25">
      <c r="H80" s="75" t="str">
        <f t="shared" si="15"/>
        <v xml:space="preserve">  </v>
      </c>
    </row>
    <row r="81" spans="8:8" x14ac:dyDescent="0.25">
      <c r="H81" s="75" t="str">
        <f t="shared" si="15"/>
        <v xml:space="preserve">  </v>
      </c>
    </row>
    <row r="82" spans="8:8" x14ac:dyDescent="0.25">
      <c r="H82" s="75" t="str">
        <f t="shared" si="15"/>
        <v xml:space="preserve">  </v>
      </c>
    </row>
    <row r="83" spans="8:8" x14ac:dyDescent="0.25">
      <c r="H83" s="75" t="str">
        <f t="shared" si="15"/>
        <v xml:space="preserve">  </v>
      </c>
    </row>
    <row r="84" spans="8:8" x14ac:dyDescent="0.25">
      <c r="H84" s="75" t="str">
        <f t="shared" si="15"/>
        <v xml:space="preserve">  </v>
      </c>
    </row>
    <row r="85" spans="8:8" x14ac:dyDescent="0.25">
      <c r="H85" s="75" t="str">
        <f t="shared" si="15"/>
        <v xml:space="preserve">  </v>
      </c>
    </row>
    <row r="86" spans="8:8" x14ac:dyDescent="0.25">
      <c r="H86" s="75" t="str">
        <f t="shared" si="15"/>
        <v xml:space="preserve">  </v>
      </c>
    </row>
    <row r="87" spans="8:8" x14ac:dyDescent="0.25">
      <c r="H87" s="75" t="str">
        <f t="shared" si="15"/>
        <v xml:space="preserve">  </v>
      </c>
    </row>
    <row r="88" spans="8:8" x14ac:dyDescent="0.25">
      <c r="H88" s="555" t="str">
        <f t="shared" si="15"/>
        <v xml:space="preserve">  </v>
      </c>
    </row>
    <row r="89" spans="8:8" x14ac:dyDescent="0.25">
      <c r="H89" s="555" t="str">
        <f t="shared" si="15"/>
        <v xml:space="preserve">  </v>
      </c>
    </row>
    <row r="90" spans="8:8" x14ac:dyDescent="0.25">
      <c r="H90" s="555" t="str">
        <f t="shared" si="15"/>
        <v xml:space="preserve">  </v>
      </c>
    </row>
    <row r="91" spans="8:8" x14ac:dyDescent="0.25">
      <c r="H91" s="555" t="str">
        <f t="shared" si="15"/>
        <v xml:space="preserve">  </v>
      </c>
    </row>
    <row r="92" spans="8:8" x14ac:dyDescent="0.25">
      <c r="H92" s="75" t="str">
        <f t="shared" si="15"/>
        <v xml:space="preserve">  </v>
      </c>
    </row>
    <row r="93" spans="8:8" x14ac:dyDescent="0.25">
      <c r="H93" s="75" t="str">
        <f t="shared" si="15"/>
        <v xml:space="preserve">  </v>
      </c>
    </row>
    <row r="94" spans="8:8" x14ac:dyDescent="0.25">
      <c r="H94" s="75" t="str">
        <f t="shared" si="15"/>
        <v xml:space="preserve">  </v>
      </c>
    </row>
    <row r="95" spans="8:8" x14ac:dyDescent="0.25">
      <c r="H95" s="555" t="str">
        <f t="shared" si="15"/>
        <v xml:space="preserve">  </v>
      </c>
    </row>
    <row r="96" spans="8:8" x14ac:dyDescent="0.25">
      <c r="H96" s="555" t="str">
        <f t="shared" si="15"/>
        <v xml:space="preserve">  </v>
      </c>
    </row>
    <row r="97" spans="8:8" x14ac:dyDescent="0.25">
      <c r="H97" s="75" t="str">
        <f t="shared" si="15"/>
        <v xml:space="preserve">  </v>
      </c>
    </row>
    <row r="98" spans="8:8" x14ac:dyDescent="0.25">
      <c r="H98" s="75" t="str">
        <f t="shared" si="15"/>
        <v xml:space="preserve">  </v>
      </c>
    </row>
    <row r="99" spans="8:8" x14ac:dyDescent="0.25">
      <c r="H99" s="75" t="str">
        <f t="shared" si="15"/>
        <v xml:space="preserve">  </v>
      </c>
    </row>
    <row r="100" spans="8:8" x14ac:dyDescent="0.25">
      <c r="H100" s="75" t="str">
        <f t="shared" si="15"/>
        <v xml:space="preserve">  </v>
      </c>
    </row>
    <row r="101" spans="8:8" x14ac:dyDescent="0.25">
      <c r="H101" s="75" t="str">
        <f t="shared" si="15"/>
        <v xml:space="preserve">  </v>
      </c>
    </row>
    <row r="102" spans="8:8" x14ac:dyDescent="0.25">
      <c r="H102" s="75" t="str">
        <f t="shared" si="15"/>
        <v xml:space="preserve">  </v>
      </c>
    </row>
    <row r="103" spans="8:8" x14ac:dyDescent="0.25">
      <c r="H103" s="75" t="str">
        <f t="shared" si="15"/>
        <v xml:space="preserve">  </v>
      </c>
    </row>
    <row r="104" spans="8:8" x14ac:dyDescent="0.25">
      <c r="H104" s="75" t="str">
        <f t="shared" si="15"/>
        <v xml:space="preserve">  </v>
      </c>
    </row>
    <row r="105" spans="8:8" x14ac:dyDescent="0.25">
      <c r="H105" s="75" t="str">
        <f t="shared" si="15"/>
        <v xml:space="preserve">  </v>
      </c>
    </row>
    <row r="106" spans="8:8" x14ac:dyDescent="0.25">
      <c r="H106" s="75" t="str">
        <f t="shared" si="15"/>
        <v xml:space="preserve">  </v>
      </c>
    </row>
    <row r="107" spans="8:8" x14ac:dyDescent="0.25">
      <c r="H107" s="555" t="str">
        <f t="shared" si="15"/>
        <v xml:space="preserve">  </v>
      </c>
    </row>
    <row r="108" spans="8:8" x14ac:dyDescent="0.25">
      <c r="H108" s="555" t="str">
        <f t="shared" si="15"/>
        <v xml:space="preserve">  </v>
      </c>
    </row>
    <row r="109" spans="8:8" x14ac:dyDescent="0.25">
      <c r="H109" s="75" t="str">
        <f t="shared" si="15"/>
        <v xml:space="preserve">  </v>
      </c>
    </row>
    <row r="110" spans="8:8" x14ac:dyDescent="0.25">
      <c r="H110" s="555" t="str">
        <f t="shared" si="15"/>
        <v xml:space="preserve">  </v>
      </c>
    </row>
    <row r="111" spans="8:8" x14ac:dyDescent="0.25">
      <c r="H111" s="555" t="str">
        <f t="shared" si="15"/>
        <v xml:space="preserve">  </v>
      </c>
    </row>
    <row r="112" spans="8:8" x14ac:dyDescent="0.25">
      <c r="H112" s="75" t="str">
        <f t="shared" si="15"/>
        <v xml:space="preserve">  </v>
      </c>
    </row>
    <row r="113" spans="8:8" x14ac:dyDescent="0.25">
      <c r="H113" s="75" t="str">
        <f t="shared" si="15"/>
        <v xml:space="preserve">  </v>
      </c>
    </row>
    <row r="114" spans="8:8" x14ac:dyDescent="0.25">
      <c r="H114" s="75" t="str">
        <f t="shared" si="15"/>
        <v xml:space="preserve">  </v>
      </c>
    </row>
    <row r="115" spans="8:8" x14ac:dyDescent="0.25">
      <c r="H115" s="75" t="str">
        <f t="shared" si="15"/>
        <v xml:space="preserve">  </v>
      </c>
    </row>
    <row r="116" spans="8:8" x14ac:dyDescent="0.25">
      <c r="H116" s="75" t="str">
        <f t="shared" si="15"/>
        <v xml:space="preserve">  </v>
      </c>
    </row>
    <row r="117" spans="8:8" x14ac:dyDescent="0.25">
      <c r="H117" s="75" t="str">
        <f t="shared" si="15"/>
        <v xml:space="preserve">  </v>
      </c>
    </row>
    <row r="118" spans="8:8" x14ac:dyDescent="0.25">
      <c r="H118" s="75" t="str">
        <f t="shared" si="15"/>
        <v xml:space="preserve">  </v>
      </c>
    </row>
    <row r="119" spans="8:8" x14ac:dyDescent="0.25">
      <c r="H119" s="75" t="str">
        <f t="shared" si="15"/>
        <v xml:space="preserve">  </v>
      </c>
    </row>
    <row r="120" spans="8:8" x14ac:dyDescent="0.25">
      <c r="H120" s="555" t="str">
        <f t="shared" si="15"/>
        <v xml:space="preserve">  </v>
      </c>
    </row>
    <row r="121" spans="8:8" x14ac:dyDescent="0.25">
      <c r="H121" s="555" t="str">
        <f t="shared" si="15"/>
        <v xml:space="preserve">  </v>
      </c>
    </row>
    <row r="122" spans="8:8" x14ac:dyDescent="0.25">
      <c r="H122" s="75" t="str">
        <f t="shared" si="15"/>
        <v xml:space="preserve">  </v>
      </c>
    </row>
    <row r="123" spans="8:8" x14ac:dyDescent="0.25">
      <c r="H123" s="75" t="str">
        <f t="shared" si="15"/>
        <v xml:space="preserve">  </v>
      </c>
    </row>
    <row r="124" spans="8:8" x14ac:dyDescent="0.25">
      <c r="H124" s="75" t="str">
        <f t="shared" si="15"/>
        <v xml:space="preserve">  </v>
      </c>
    </row>
    <row r="125" spans="8:8" x14ac:dyDescent="0.25">
      <c r="H125" s="75" t="str">
        <f t="shared" si="15"/>
        <v xml:space="preserve">  </v>
      </c>
    </row>
    <row r="126" spans="8:8" x14ac:dyDescent="0.25">
      <c r="H126" s="75" t="str">
        <f t="shared" si="15"/>
        <v xml:space="preserve">  </v>
      </c>
    </row>
    <row r="127" spans="8:8" x14ac:dyDescent="0.25">
      <c r="H127" s="75" t="str">
        <f t="shared" si="15"/>
        <v xml:space="preserve">  </v>
      </c>
    </row>
    <row r="128" spans="8:8" x14ac:dyDescent="0.25">
      <c r="H128" s="555" t="str">
        <f t="shared" si="15"/>
        <v xml:space="preserve">  </v>
      </c>
    </row>
    <row r="129" spans="8:8" x14ac:dyDescent="0.25">
      <c r="H129" s="555" t="str">
        <f t="shared" si="15"/>
        <v xml:space="preserve">  </v>
      </c>
    </row>
    <row r="130" spans="8:8" x14ac:dyDescent="0.25">
      <c r="H130" s="75" t="str">
        <f t="shared" si="15"/>
        <v xml:space="preserve">  </v>
      </c>
    </row>
    <row r="131" spans="8:8" x14ac:dyDescent="0.25">
      <c r="H131" s="75" t="str">
        <f t="shared" si="15"/>
        <v xml:space="preserve">  </v>
      </c>
    </row>
    <row r="132" spans="8:8" x14ac:dyDescent="0.25">
      <c r="H132" s="75" t="str">
        <f t="shared" si="15"/>
        <v xml:space="preserve">  </v>
      </c>
    </row>
    <row r="133" spans="8:8" x14ac:dyDescent="0.25">
      <c r="H133" s="75" t="str">
        <f t="shared" ref="H133:H139" si="16">IFERROR(G133/F133,"  ")</f>
        <v xml:space="preserve">  </v>
      </c>
    </row>
    <row r="134" spans="8:8" x14ac:dyDescent="0.25">
      <c r="H134" s="75" t="str">
        <f t="shared" si="16"/>
        <v xml:space="preserve">  </v>
      </c>
    </row>
    <row r="135" spans="8:8" x14ac:dyDescent="0.25">
      <c r="H135" s="555" t="str">
        <f t="shared" si="16"/>
        <v xml:space="preserve">  </v>
      </c>
    </row>
    <row r="136" spans="8:8" x14ac:dyDescent="0.25">
      <c r="H136" s="555" t="str">
        <f t="shared" si="16"/>
        <v xml:space="preserve">  </v>
      </c>
    </row>
    <row r="137" spans="8:8" x14ac:dyDescent="0.25">
      <c r="H137" s="555" t="str">
        <f t="shared" si="16"/>
        <v xml:space="preserve">  </v>
      </c>
    </row>
    <row r="138" spans="8:8" x14ac:dyDescent="0.25">
      <c r="H138" s="555" t="str">
        <f t="shared" si="16"/>
        <v xml:space="preserve">  </v>
      </c>
    </row>
    <row r="139" spans="8:8" x14ac:dyDescent="0.25">
      <c r="H139" s="75" t="str">
        <f t="shared" si="16"/>
        <v xml:space="preserve">  </v>
      </c>
    </row>
    <row r="140" spans="8:8" x14ac:dyDescent="0.25">
      <c r="H140" s="57"/>
    </row>
    <row r="141" spans="8:8" x14ac:dyDescent="0.25">
      <c r="H141" s="57"/>
    </row>
    <row r="142" spans="8:8" x14ac:dyDescent="0.25">
      <c r="H142" s="57"/>
    </row>
    <row r="143" spans="8:8" x14ac:dyDescent="0.25">
      <c r="H143" s="57"/>
    </row>
    <row r="144" spans="8:8" x14ac:dyDescent="0.25">
      <c r="H144" s="57"/>
    </row>
    <row r="145" spans="8:8" x14ac:dyDescent="0.25">
      <c r="H145" s="57"/>
    </row>
    <row r="146" spans="8:8" x14ac:dyDescent="0.25">
      <c r="H146" s="57"/>
    </row>
    <row r="147" spans="8:8" x14ac:dyDescent="0.25">
      <c r="H147" s="57"/>
    </row>
    <row r="148" spans="8:8" x14ac:dyDescent="0.25">
      <c r="H148" s="57"/>
    </row>
  </sheetData>
  <mergeCells count="24">
    <mergeCell ref="B2:H2"/>
    <mergeCell ref="B3:H3"/>
    <mergeCell ref="C65:C66"/>
    <mergeCell ref="D65:D66"/>
    <mergeCell ref="F65:F66"/>
    <mergeCell ref="B5:B6"/>
    <mergeCell ref="C5:C6"/>
    <mergeCell ref="E65:E66"/>
    <mergeCell ref="H120:H121"/>
    <mergeCell ref="H128:H129"/>
    <mergeCell ref="H135:H136"/>
    <mergeCell ref="H137:H138"/>
    <mergeCell ref="D5:D6"/>
    <mergeCell ref="E5:E6"/>
    <mergeCell ref="F5:G5"/>
    <mergeCell ref="H65:H66"/>
    <mergeCell ref="H73:H74"/>
    <mergeCell ref="H88:H89"/>
    <mergeCell ref="H90:H91"/>
    <mergeCell ref="H95:H96"/>
    <mergeCell ref="H107:H108"/>
    <mergeCell ref="H110:H111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22" zoomScale="75" zoomScaleNormal="75" workbookViewId="0">
      <selection activeCell="H46" sqref="H46"/>
    </sheetView>
  </sheetViews>
  <sheetFormatPr defaultColWidth="9.140625" defaultRowHeight="15.75" x14ac:dyDescent="0.25"/>
  <cols>
    <col min="1" max="1" width="2.85546875" style="76" customWidth="1"/>
    <col min="2" max="2" width="6.140625" style="76" customWidth="1"/>
    <col min="3" max="3" width="81.28515625" style="76" customWidth="1"/>
    <col min="4" max="4" width="20.7109375" style="77" customWidth="1"/>
    <col min="5" max="7" width="20.7109375" style="76" customWidth="1"/>
    <col min="8" max="8" width="21.28515625" style="76" customWidth="1"/>
    <col min="9" max="9" width="11.5703125" style="76" customWidth="1"/>
    <col min="10" max="10" width="12.7109375" style="76" customWidth="1"/>
    <col min="11" max="11" width="12.28515625" style="76" customWidth="1"/>
    <col min="12" max="12" width="13.42578125" style="76" customWidth="1"/>
    <col min="13" max="13" width="11.28515625" style="76" customWidth="1"/>
    <col min="14" max="14" width="12.42578125" style="76" customWidth="1"/>
    <col min="15" max="15" width="14.42578125" style="76" customWidth="1"/>
    <col min="16" max="16" width="15.140625" style="76" customWidth="1"/>
    <col min="17" max="17" width="11.28515625" style="76" customWidth="1"/>
    <col min="18" max="18" width="13.140625" style="76" customWidth="1"/>
    <col min="19" max="19" width="13" style="76" customWidth="1"/>
    <col min="20" max="20" width="14.140625" style="76" customWidth="1"/>
    <col min="21" max="21" width="26.5703125" style="76" customWidth="1"/>
    <col min="22" max="16384" width="9.140625" style="76"/>
  </cols>
  <sheetData>
    <row r="1" spans="2:24" ht="18.75" x14ac:dyDescent="0.3">
      <c r="H1" s="78" t="s">
        <v>206</v>
      </c>
    </row>
    <row r="2" spans="2:24" ht="20.25" x14ac:dyDescent="0.3">
      <c r="B2" s="578" t="s">
        <v>35</v>
      </c>
      <c r="C2" s="578"/>
      <c r="D2" s="578"/>
      <c r="E2" s="578"/>
      <c r="F2" s="578"/>
      <c r="G2" s="578"/>
      <c r="H2" s="578"/>
      <c r="I2" s="79"/>
    </row>
    <row r="3" spans="2:24" ht="19.5" thickBot="1" x14ac:dyDescent="0.35">
      <c r="C3" s="79"/>
      <c r="D3" s="80"/>
      <c r="E3" s="79"/>
      <c r="F3" s="79"/>
      <c r="G3" s="79"/>
      <c r="H3" s="81" t="s">
        <v>2</v>
      </c>
      <c r="I3" s="79"/>
    </row>
    <row r="4" spans="2:24" ht="36.75" customHeight="1" x14ac:dyDescent="0.25">
      <c r="B4" s="579" t="s">
        <v>3</v>
      </c>
      <c r="C4" s="581" t="s">
        <v>5</v>
      </c>
      <c r="D4" s="583" t="s">
        <v>739</v>
      </c>
      <c r="E4" s="585" t="s">
        <v>740</v>
      </c>
      <c r="F4" s="587" t="s">
        <v>773</v>
      </c>
      <c r="G4" s="588"/>
      <c r="H4" s="589" t="s">
        <v>774</v>
      </c>
      <c r="I4" s="576"/>
      <c r="J4" s="577"/>
      <c r="K4" s="576"/>
      <c r="L4" s="577"/>
      <c r="M4" s="576"/>
      <c r="N4" s="577"/>
      <c r="O4" s="576"/>
      <c r="P4" s="577"/>
      <c r="Q4" s="576"/>
      <c r="R4" s="577"/>
      <c r="S4" s="577"/>
      <c r="T4" s="577"/>
      <c r="U4" s="82"/>
      <c r="V4" s="82"/>
      <c r="W4" s="82"/>
      <c r="X4" s="82"/>
    </row>
    <row r="5" spans="2:24" ht="30.75" customHeight="1" thickBot="1" x14ac:dyDescent="0.3">
      <c r="B5" s="580"/>
      <c r="C5" s="582"/>
      <c r="D5" s="584"/>
      <c r="E5" s="586"/>
      <c r="F5" s="83" t="s">
        <v>0</v>
      </c>
      <c r="G5" s="84" t="s">
        <v>44</v>
      </c>
      <c r="H5" s="590"/>
      <c r="I5" s="576"/>
      <c r="J5" s="576"/>
      <c r="K5" s="576"/>
      <c r="L5" s="576"/>
      <c r="M5" s="576"/>
      <c r="N5" s="576"/>
      <c r="O5" s="576"/>
      <c r="P5" s="577"/>
      <c r="Q5" s="576"/>
      <c r="R5" s="577"/>
      <c r="S5" s="577"/>
      <c r="T5" s="577"/>
      <c r="U5" s="82"/>
      <c r="V5" s="82"/>
      <c r="W5" s="82"/>
      <c r="X5" s="82"/>
    </row>
    <row r="6" spans="2:24" s="92" customFormat="1" ht="35.25" customHeight="1" x14ac:dyDescent="0.3">
      <c r="B6" s="85" t="s">
        <v>50</v>
      </c>
      <c r="C6" s="86" t="s">
        <v>77</v>
      </c>
      <c r="D6" s="87">
        <v>211586093.88</v>
      </c>
      <c r="E6" s="88">
        <v>289140721</v>
      </c>
      <c r="F6" s="89">
        <v>289140721</v>
      </c>
      <c r="G6" s="88">
        <v>236537648</v>
      </c>
      <c r="H6" s="90">
        <f t="shared" ref="H6:H37" si="0">IFERROR(G6/F6,"  ")</f>
        <v>0.81807103192497055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2:24" s="92" customFormat="1" ht="35.25" customHeight="1" x14ac:dyDescent="0.3">
      <c r="B7" s="93" t="s">
        <v>51</v>
      </c>
      <c r="C7" s="94" t="s">
        <v>115</v>
      </c>
      <c r="D7" s="95">
        <v>293225920.20999998</v>
      </c>
      <c r="E7" s="96">
        <v>401302464</v>
      </c>
      <c r="F7" s="97">
        <v>401302464</v>
      </c>
      <c r="G7" s="96">
        <v>328579880</v>
      </c>
      <c r="H7" s="98">
        <f t="shared" si="0"/>
        <v>0.818783609561889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</row>
    <row r="8" spans="2:24" s="92" customFormat="1" ht="35.25" customHeight="1" x14ac:dyDescent="0.3">
      <c r="B8" s="93" t="s">
        <v>52</v>
      </c>
      <c r="C8" s="94" t="s">
        <v>116</v>
      </c>
      <c r="D8" s="95">
        <v>337654742.19</v>
      </c>
      <c r="E8" s="96">
        <f t="shared" ref="E8" si="1">E7*1.1515</f>
        <v>462099787.296</v>
      </c>
      <c r="F8" s="97">
        <v>462099787</v>
      </c>
      <c r="G8" s="96">
        <v>378359721</v>
      </c>
      <c r="H8" s="98">
        <f t="shared" si="0"/>
        <v>0.8187835866715083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</row>
    <row r="9" spans="2:24" s="92" customFormat="1" ht="35.25" customHeight="1" x14ac:dyDescent="0.3">
      <c r="B9" s="93" t="s">
        <v>53</v>
      </c>
      <c r="C9" s="94" t="s">
        <v>567</v>
      </c>
      <c r="D9" s="95">
        <f>D10+D11</f>
        <v>209</v>
      </c>
      <c r="E9" s="96">
        <v>235</v>
      </c>
      <c r="F9" s="97">
        <v>235</v>
      </c>
      <c r="G9" s="97">
        <f>G10+G11</f>
        <v>206</v>
      </c>
      <c r="H9" s="98">
        <f t="shared" si="0"/>
        <v>0.87659574468085111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0" spans="2:24" s="92" customFormat="1" ht="35.25" customHeight="1" x14ac:dyDescent="0.3">
      <c r="B10" s="93" t="s">
        <v>120</v>
      </c>
      <c r="C10" s="99" t="s">
        <v>117</v>
      </c>
      <c r="D10" s="95">
        <v>186</v>
      </c>
      <c r="E10" s="96">
        <v>213</v>
      </c>
      <c r="F10" s="97">
        <v>213</v>
      </c>
      <c r="G10" s="96">
        <v>182</v>
      </c>
      <c r="H10" s="98">
        <f t="shared" si="0"/>
        <v>0.85446009389671362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pans="2:24" s="92" customFormat="1" ht="35.25" customHeight="1" x14ac:dyDescent="0.3">
      <c r="B11" s="93" t="s">
        <v>119</v>
      </c>
      <c r="C11" s="99" t="s">
        <v>118</v>
      </c>
      <c r="D11" s="95">
        <v>23</v>
      </c>
      <c r="E11" s="96">
        <f t="shared" ref="E11" si="2">E9-E10</f>
        <v>22</v>
      </c>
      <c r="F11" s="97">
        <v>22</v>
      </c>
      <c r="G11" s="96">
        <v>24</v>
      </c>
      <c r="H11" s="98">
        <f t="shared" si="0"/>
        <v>1.0909090909090908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</row>
    <row r="12" spans="2:24" s="92" customFormat="1" ht="35.25" customHeight="1" x14ac:dyDescent="0.3">
      <c r="B12" s="93" t="s">
        <v>93</v>
      </c>
      <c r="C12" s="100" t="s">
        <v>6</v>
      </c>
      <c r="D12" s="95"/>
      <c r="E12" s="96"/>
      <c r="F12" s="97"/>
      <c r="G12" s="96"/>
      <c r="H12" s="98" t="str">
        <f t="shared" si="0"/>
        <v xml:space="preserve">  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pans="2:24" s="92" customFormat="1" ht="35.25" customHeight="1" x14ac:dyDescent="0.3">
      <c r="B13" s="93" t="s">
        <v>94</v>
      </c>
      <c r="C13" s="100" t="s">
        <v>67</v>
      </c>
      <c r="D13" s="101"/>
      <c r="E13" s="102"/>
      <c r="F13" s="97"/>
      <c r="G13" s="96"/>
      <c r="H13" s="98" t="str">
        <f t="shared" si="0"/>
        <v xml:space="preserve">  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spans="2:24" s="92" customFormat="1" ht="35.25" customHeight="1" x14ac:dyDescent="0.3">
      <c r="B14" s="93" t="s">
        <v>95</v>
      </c>
      <c r="C14" s="100" t="s">
        <v>7</v>
      </c>
      <c r="D14" s="101"/>
      <c r="E14" s="102"/>
      <c r="F14" s="97"/>
      <c r="G14" s="96"/>
      <c r="H14" s="98" t="str">
        <f t="shared" si="0"/>
        <v xml:space="preserve">  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2:24" s="92" customFormat="1" ht="35.25" customHeight="1" x14ac:dyDescent="0.3">
      <c r="B15" s="93" t="s">
        <v>96</v>
      </c>
      <c r="C15" s="100" t="s">
        <v>68</v>
      </c>
      <c r="D15" s="101"/>
      <c r="E15" s="102"/>
      <c r="F15" s="97"/>
      <c r="G15" s="96"/>
      <c r="H15" s="98" t="str">
        <f t="shared" si="0"/>
        <v xml:space="preserve">  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2:24" s="92" customFormat="1" ht="35.25" customHeight="1" x14ac:dyDescent="0.3">
      <c r="B16" s="93" t="s">
        <v>97</v>
      </c>
      <c r="C16" s="94" t="s">
        <v>8</v>
      </c>
      <c r="D16" s="101"/>
      <c r="E16" s="102"/>
      <c r="F16" s="97"/>
      <c r="G16" s="96"/>
      <c r="H16" s="98" t="str">
        <f t="shared" si="0"/>
        <v xml:space="preserve">  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spans="2:24" s="92" customFormat="1" ht="35.25" customHeight="1" x14ac:dyDescent="0.3">
      <c r="B17" s="93" t="s">
        <v>98</v>
      </c>
      <c r="C17" s="94" t="s">
        <v>69</v>
      </c>
      <c r="D17" s="95"/>
      <c r="E17" s="96"/>
      <c r="F17" s="97"/>
      <c r="G17" s="96"/>
      <c r="H17" s="98" t="str">
        <f t="shared" si="0"/>
        <v xml:space="preserve">  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spans="2:24" s="92" customFormat="1" ht="35.25" customHeight="1" x14ac:dyDescent="0.3">
      <c r="B18" s="93" t="s">
        <v>99</v>
      </c>
      <c r="C18" s="94" t="s">
        <v>9</v>
      </c>
      <c r="D18" s="95"/>
      <c r="E18" s="96">
        <v>2500000</v>
      </c>
      <c r="F18" s="97">
        <v>2500000</v>
      </c>
      <c r="G18" s="96">
        <v>972222</v>
      </c>
      <c r="H18" s="98">
        <f t="shared" si="0"/>
        <v>0.38888879999999998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pans="2:24" s="92" customFormat="1" ht="35.25" customHeight="1" x14ac:dyDescent="0.3">
      <c r="B19" s="93" t="s">
        <v>100</v>
      </c>
      <c r="C19" s="100" t="s">
        <v>70</v>
      </c>
      <c r="D19" s="95"/>
      <c r="E19" s="96"/>
      <c r="F19" s="97"/>
      <c r="G19" s="96">
        <v>3</v>
      </c>
      <c r="H19" s="98" t="str">
        <f t="shared" si="0"/>
        <v xml:space="preserve">  </v>
      </c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pans="2:24" s="92" customFormat="1" ht="35.25" customHeight="1" x14ac:dyDescent="0.3">
      <c r="B20" s="93" t="s">
        <v>101</v>
      </c>
      <c r="C20" s="94" t="s">
        <v>79</v>
      </c>
      <c r="D20" s="95"/>
      <c r="E20" s="96"/>
      <c r="F20" s="97"/>
      <c r="G20" s="96"/>
      <c r="H20" s="98" t="str">
        <f t="shared" si="0"/>
        <v xml:space="preserve">  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pans="2:24" s="92" customFormat="1" ht="35.25" customHeight="1" x14ac:dyDescent="0.3">
      <c r="B21" s="93" t="s">
        <v>59</v>
      </c>
      <c r="C21" s="94" t="s">
        <v>78</v>
      </c>
      <c r="D21" s="95"/>
      <c r="E21" s="96"/>
      <c r="F21" s="97"/>
      <c r="G21" s="96"/>
      <c r="H21" s="98" t="str">
        <f t="shared" si="0"/>
        <v xml:space="preserve">  </v>
      </c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pans="2:24" s="92" customFormat="1" ht="35.25" customHeight="1" x14ac:dyDescent="0.3">
      <c r="B22" s="93" t="s">
        <v>102</v>
      </c>
      <c r="C22" s="94" t="s">
        <v>71</v>
      </c>
      <c r="D22" s="95"/>
      <c r="E22" s="371"/>
      <c r="F22" s="471"/>
      <c r="G22" s="96"/>
      <c r="H22" s="98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</row>
    <row r="23" spans="2:24" s="92" customFormat="1" ht="35.25" customHeight="1" x14ac:dyDescent="0.3">
      <c r="B23" s="93" t="s">
        <v>103</v>
      </c>
      <c r="C23" s="94" t="s">
        <v>72</v>
      </c>
      <c r="D23" s="95"/>
      <c r="E23" s="371"/>
      <c r="F23" s="372"/>
      <c r="G23" s="96"/>
      <c r="H23" s="98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</row>
    <row r="24" spans="2:24" s="92" customFormat="1" ht="35.25" customHeight="1" x14ac:dyDescent="0.3">
      <c r="B24" s="93" t="s">
        <v>104</v>
      </c>
      <c r="C24" s="94" t="s">
        <v>73</v>
      </c>
      <c r="D24" s="95">
        <v>2500000</v>
      </c>
      <c r="E24" s="96">
        <v>2500000</v>
      </c>
      <c r="F24" s="97">
        <v>2500000</v>
      </c>
      <c r="G24" s="96">
        <v>2500000</v>
      </c>
      <c r="H24" s="98">
        <f t="shared" si="0"/>
        <v>1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spans="2:24" s="92" customFormat="1" ht="35.25" customHeight="1" x14ac:dyDescent="0.3">
      <c r="B25" s="93" t="s">
        <v>105</v>
      </c>
      <c r="C25" s="94" t="s">
        <v>74</v>
      </c>
      <c r="D25" s="95">
        <v>3</v>
      </c>
      <c r="E25" s="95">
        <v>3</v>
      </c>
      <c r="F25" s="95">
        <v>3</v>
      </c>
      <c r="G25" s="95">
        <v>3</v>
      </c>
      <c r="H25" s="98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spans="2:24" s="92" customFormat="1" ht="35.25" customHeight="1" x14ac:dyDescent="0.3">
      <c r="B26" s="93" t="s">
        <v>106</v>
      </c>
      <c r="C26" s="94" t="s">
        <v>10</v>
      </c>
      <c r="D26" s="95">
        <v>16580085</v>
      </c>
      <c r="E26" s="96">
        <v>18000000</v>
      </c>
      <c r="F26" s="97">
        <v>18000000</v>
      </c>
      <c r="G26" s="96">
        <v>16233613</v>
      </c>
      <c r="H26" s="98">
        <f t="shared" si="0"/>
        <v>0.90186738888888884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pans="2:24" s="92" customFormat="1" ht="35.25" customHeight="1" x14ac:dyDescent="0.3">
      <c r="B27" s="93" t="s">
        <v>107</v>
      </c>
      <c r="C27" s="94" t="s">
        <v>75</v>
      </c>
      <c r="D27" s="95">
        <v>637087</v>
      </c>
      <c r="E27" s="96">
        <v>1000000</v>
      </c>
      <c r="F27" s="97">
        <v>1000000</v>
      </c>
      <c r="G27" s="96">
        <v>924530</v>
      </c>
      <c r="H27" s="98">
        <f t="shared" si="0"/>
        <v>0.92452999999999996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spans="2:24" s="104" customFormat="1" ht="35.25" customHeight="1" x14ac:dyDescent="0.2">
      <c r="B28" s="93" t="s">
        <v>108</v>
      </c>
      <c r="C28" s="100" t="s">
        <v>76</v>
      </c>
      <c r="D28" s="95"/>
      <c r="E28" s="96"/>
      <c r="F28" s="97"/>
      <c r="G28" s="96"/>
      <c r="H28" s="98" t="str">
        <f t="shared" si="0"/>
        <v xml:space="preserve">  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spans="2:24" s="92" customFormat="1" ht="35.25" customHeight="1" x14ac:dyDescent="0.3">
      <c r="B29" s="93" t="s">
        <v>109</v>
      </c>
      <c r="C29" s="94" t="s">
        <v>11</v>
      </c>
      <c r="D29" s="95">
        <v>3166881</v>
      </c>
      <c r="E29" s="96">
        <v>4000000</v>
      </c>
      <c r="F29" s="97">
        <v>4000000</v>
      </c>
      <c r="G29" s="96">
        <v>3217532</v>
      </c>
      <c r="H29" s="98">
        <f t="shared" si="0"/>
        <v>0.80438299999999996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</row>
    <row r="30" spans="2:24" s="92" customFormat="1" ht="35.25" customHeight="1" x14ac:dyDescent="0.3">
      <c r="B30" s="93" t="s">
        <v>110</v>
      </c>
      <c r="C30" s="94" t="s">
        <v>45</v>
      </c>
      <c r="D30" s="95"/>
      <c r="E30" s="96"/>
      <c r="F30" s="97"/>
      <c r="G30" s="96"/>
      <c r="H30" s="98" t="str">
        <f t="shared" si="0"/>
        <v xml:space="preserve">  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</row>
    <row r="31" spans="2:24" s="92" customFormat="1" ht="35.25" customHeight="1" x14ac:dyDescent="0.3">
      <c r="B31" s="93" t="s">
        <v>60</v>
      </c>
      <c r="C31" s="94" t="s">
        <v>12</v>
      </c>
      <c r="D31" s="95">
        <v>580082</v>
      </c>
      <c r="E31" s="96">
        <v>2000000</v>
      </c>
      <c r="F31" s="97">
        <v>2000000</v>
      </c>
      <c r="G31" s="96">
        <v>1419811</v>
      </c>
      <c r="H31" s="98">
        <f t="shared" si="0"/>
        <v>0.70990549999999997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</row>
    <row r="32" spans="2:24" s="92" customFormat="1" ht="35.25" customHeight="1" x14ac:dyDescent="0.3">
      <c r="B32" s="93" t="s">
        <v>111</v>
      </c>
      <c r="C32" s="94" t="s">
        <v>45</v>
      </c>
      <c r="D32" s="95"/>
      <c r="E32" s="96"/>
      <c r="F32" s="97"/>
      <c r="G32" s="96"/>
      <c r="H32" s="98" t="str">
        <f t="shared" si="0"/>
        <v xml:space="preserve">  </v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</row>
    <row r="33" spans="2:24" s="92" customFormat="1" ht="35.25" customHeight="1" x14ac:dyDescent="0.3">
      <c r="B33" s="93" t="s">
        <v>112</v>
      </c>
      <c r="C33" s="94" t="s">
        <v>13</v>
      </c>
      <c r="D33" s="95"/>
      <c r="E33" s="96"/>
      <c r="F33" s="97"/>
      <c r="G33" s="96"/>
      <c r="H33" s="98" t="str">
        <f t="shared" si="0"/>
        <v xml:space="preserve">  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</row>
    <row r="34" spans="2:24" s="92" customFormat="1" ht="35.25" customHeight="1" x14ac:dyDescent="0.3">
      <c r="B34" s="93" t="s">
        <v>113</v>
      </c>
      <c r="C34" s="94" t="s">
        <v>14</v>
      </c>
      <c r="D34" s="95">
        <v>10150483</v>
      </c>
      <c r="E34" s="96">
        <v>12000000</v>
      </c>
      <c r="F34" s="97">
        <v>12000000</v>
      </c>
      <c r="G34" s="96">
        <v>1581264</v>
      </c>
      <c r="H34" s="98">
        <f t="shared" si="0"/>
        <v>0.131772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</row>
    <row r="35" spans="2:24" s="92" customFormat="1" ht="35.25" customHeight="1" x14ac:dyDescent="0.3">
      <c r="B35" s="93" t="s">
        <v>114</v>
      </c>
      <c r="C35" s="94" t="s">
        <v>15</v>
      </c>
      <c r="D35" s="95"/>
      <c r="E35" s="96"/>
      <c r="F35" s="97"/>
      <c r="G35" s="96"/>
      <c r="H35" s="98" t="str">
        <f t="shared" si="0"/>
        <v xml:space="preserve">  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</row>
    <row r="36" spans="2:24" s="92" customFormat="1" ht="35.25" customHeight="1" x14ac:dyDescent="0.3">
      <c r="B36" s="93" t="s">
        <v>61</v>
      </c>
      <c r="C36" s="94" t="s">
        <v>16</v>
      </c>
      <c r="D36" s="95">
        <v>1472853</v>
      </c>
      <c r="E36" s="96">
        <v>5000000</v>
      </c>
      <c r="F36" s="97">
        <v>5000000</v>
      </c>
      <c r="G36" s="96">
        <v>1253000</v>
      </c>
      <c r="H36" s="98">
        <f t="shared" si="0"/>
        <v>0.25059999999999999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</row>
    <row r="37" spans="2:24" s="92" customFormat="1" ht="35.25" customHeight="1" thickBot="1" x14ac:dyDescent="0.35">
      <c r="B37" s="105" t="s">
        <v>265</v>
      </c>
      <c r="C37" s="106" t="s">
        <v>264</v>
      </c>
      <c r="D37" s="107">
        <v>1103300</v>
      </c>
      <c r="E37" s="108">
        <v>1000000</v>
      </c>
      <c r="F37" s="109">
        <v>1000000</v>
      </c>
      <c r="G37" s="108">
        <v>610653</v>
      </c>
      <c r="H37" s="110">
        <f t="shared" si="0"/>
        <v>0.610653</v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</row>
    <row r="38" spans="2:24" s="92" customFormat="1" ht="15.75" customHeight="1" x14ac:dyDescent="0.3">
      <c r="B38" s="111"/>
      <c r="C38" s="112"/>
      <c r="D38" s="113">
        <f>D8+D18+D24+D26+D27+D34+D36+D29+D31</f>
        <v>372742213.19</v>
      </c>
      <c r="E38" s="113">
        <f t="shared" ref="E38:H38" si="3">E8+E18+E24+E26+E27+E34+E36+E29+E31</f>
        <v>509099787.296</v>
      </c>
      <c r="F38" s="113">
        <f t="shared" si="3"/>
        <v>509099787</v>
      </c>
      <c r="G38" s="113">
        <f>G8+G18+G24+G26+G27+G34+G36+G29+G31</f>
        <v>406461693</v>
      </c>
      <c r="H38" s="113">
        <f t="shared" si="3"/>
        <v>5.9307302755603963</v>
      </c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39" spans="2:24" s="92" customFormat="1" ht="20.100000000000001" customHeight="1" x14ac:dyDescent="0.3">
      <c r="B39" s="111"/>
      <c r="C39" s="39" t="s">
        <v>572</v>
      </c>
      <c r="D39" s="114"/>
      <c r="E39" s="115"/>
      <c r="F39" s="116"/>
      <c r="G39" s="111"/>
      <c r="H39" s="11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</row>
    <row r="40" spans="2:24" s="92" customFormat="1" ht="20.100000000000001" customHeight="1" x14ac:dyDescent="0.3">
      <c r="B40" s="111"/>
      <c r="C40" s="115" t="s">
        <v>568</v>
      </c>
      <c r="D40" s="114"/>
      <c r="E40" s="115"/>
      <c r="F40" s="116"/>
      <c r="G40" s="111"/>
      <c r="H40" s="11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2:24" s="92" customFormat="1" ht="20.100000000000001" customHeight="1" x14ac:dyDescent="0.3">
      <c r="B41" s="111"/>
      <c r="C41" s="573" t="s">
        <v>677</v>
      </c>
      <c r="D41" s="573"/>
      <c r="E41" s="573"/>
      <c r="F41" s="573"/>
      <c r="G41" s="111"/>
      <c r="H41" s="11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pans="2:24" x14ac:dyDescent="0.25">
      <c r="B42" s="117"/>
      <c r="C42" s="118"/>
      <c r="D42" s="119"/>
      <c r="E42" s="118"/>
      <c r="F42" s="117"/>
      <c r="G42" s="117"/>
      <c r="H42" s="117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</row>
    <row r="43" spans="2:24" x14ac:dyDescent="0.25">
      <c r="B43" s="574"/>
      <c r="C43" s="574"/>
      <c r="D43" s="39"/>
      <c r="E43" s="575"/>
      <c r="F43" s="575"/>
      <c r="G43" s="575"/>
      <c r="H43" s="575"/>
      <c r="I43" s="12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spans="2:24" ht="24" customHeight="1" x14ac:dyDescent="0.25">
      <c r="B44" s="39"/>
      <c r="C44" s="39"/>
      <c r="D44" s="120"/>
      <c r="F44" s="39"/>
      <c r="G44" s="39"/>
      <c r="H44" s="39"/>
      <c r="I44" s="39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</row>
    <row r="45" spans="2:24" x14ac:dyDescent="0.25">
      <c r="B45" s="117"/>
      <c r="C45" s="118"/>
      <c r="D45" s="119"/>
      <c r="E45" s="118"/>
      <c r="F45" s="117"/>
      <c r="G45" s="117"/>
      <c r="H45" s="117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</row>
    <row r="46" spans="2:24" x14ac:dyDescent="0.25">
      <c r="B46" s="117"/>
      <c r="C46" s="82"/>
      <c r="D46" s="121"/>
      <c r="E46" s="82"/>
      <c r="F46" s="117"/>
      <c r="G46" s="117"/>
      <c r="H46" s="117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</row>
    <row r="47" spans="2:24" x14ac:dyDescent="0.25">
      <c r="B47" s="117"/>
      <c r="C47" s="82"/>
      <c r="D47" s="121"/>
      <c r="E47" s="82"/>
      <c r="F47" s="117"/>
      <c r="G47" s="117"/>
      <c r="H47" s="117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</row>
    <row r="48" spans="2:24" x14ac:dyDescent="0.25">
      <c r="B48" s="117"/>
      <c r="C48" s="82"/>
      <c r="D48" s="121"/>
      <c r="E48" s="82"/>
      <c r="F48" s="117"/>
      <c r="G48" s="117"/>
      <c r="H48" s="117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</row>
    <row r="49" spans="2:24" x14ac:dyDescent="0.25">
      <c r="B49" s="117"/>
      <c r="C49" s="118"/>
      <c r="D49" s="119"/>
      <c r="E49" s="118"/>
      <c r="F49" s="117"/>
      <c r="G49" s="117"/>
      <c r="H49" s="117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</row>
    <row r="50" spans="2:24" x14ac:dyDescent="0.25">
      <c r="B50" s="117"/>
      <c r="C50" s="118"/>
      <c r="D50" s="119"/>
      <c r="E50" s="118"/>
      <c r="F50" s="117"/>
      <c r="G50" s="117"/>
      <c r="H50" s="117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</row>
    <row r="51" spans="2:24" x14ac:dyDescent="0.25">
      <c r="B51" s="117"/>
      <c r="C51" s="118"/>
      <c r="D51" s="119"/>
      <c r="E51" s="118"/>
      <c r="F51" s="117"/>
      <c r="G51" s="117"/>
      <c r="H51" s="117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</row>
    <row r="52" spans="2:24" x14ac:dyDescent="0.25">
      <c r="B52" s="117"/>
      <c r="C52" s="118"/>
      <c r="D52" s="119"/>
      <c r="E52" s="118"/>
      <c r="F52" s="117"/>
      <c r="G52" s="117"/>
      <c r="H52" s="117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2:24" x14ac:dyDescent="0.25">
      <c r="B53" s="117"/>
      <c r="C53" s="118"/>
      <c r="D53" s="119"/>
      <c r="E53" s="118"/>
      <c r="F53" s="117"/>
      <c r="G53" s="117"/>
      <c r="H53" s="117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2:24" x14ac:dyDescent="0.25">
      <c r="B54" s="117"/>
      <c r="C54" s="118"/>
      <c r="D54" s="119"/>
      <c r="E54" s="118"/>
      <c r="F54" s="117"/>
      <c r="G54" s="117"/>
      <c r="H54" s="117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2:24" x14ac:dyDescent="0.25">
      <c r="B55" s="117"/>
      <c r="C55" s="82"/>
      <c r="D55" s="121"/>
      <c r="E55" s="82"/>
      <c r="F55" s="117"/>
      <c r="G55" s="117"/>
      <c r="H55" s="117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2:24" x14ac:dyDescent="0.25">
      <c r="B56" s="117"/>
      <c r="C56" s="82"/>
      <c r="D56" s="121"/>
      <c r="E56" s="82"/>
      <c r="F56" s="117"/>
      <c r="G56" s="117"/>
      <c r="H56" s="117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spans="2:24" x14ac:dyDescent="0.25">
      <c r="B57" s="117"/>
      <c r="C57" s="82"/>
      <c r="D57" s="121"/>
      <c r="E57" s="82"/>
      <c r="F57" s="117"/>
      <c r="G57" s="117"/>
      <c r="H57" s="117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</row>
    <row r="58" spans="2:24" x14ac:dyDescent="0.25">
      <c r="B58" s="117"/>
      <c r="C58" s="118"/>
      <c r="D58" s="119"/>
      <c r="E58" s="118"/>
      <c r="F58" s="117"/>
      <c r="G58" s="117"/>
      <c r="H58" s="117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</row>
    <row r="59" spans="2:24" x14ac:dyDescent="0.25">
      <c r="B59" s="117"/>
      <c r="C59" s="118"/>
      <c r="D59" s="119"/>
      <c r="E59" s="118"/>
      <c r="F59" s="117"/>
      <c r="G59" s="117"/>
      <c r="H59" s="117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</row>
    <row r="60" spans="2:24" x14ac:dyDescent="0.25">
      <c r="B60" s="117"/>
      <c r="C60" s="118"/>
      <c r="D60" s="119"/>
      <c r="E60" s="118"/>
      <c r="F60" s="117"/>
      <c r="G60" s="117"/>
      <c r="H60" s="117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</row>
    <row r="61" spans="2:24" x14ac:dyDescent="0.25">
      <c r="B61" s="117"/>
      <c r="C61" s="118"/>
      <c r="D61" s="119"/>
      <c r="E61" s="118"/>
      <c r="F61" s="117"/>
      <c r="G61" s="117"/>
      <c r="H61" s="117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2:24" x14ac:dyDescent="0.25">
      <c r="B62" s="82"/>
      <c r="C62" s="82"/>
      <c r="D62" s="121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</row>
    <row r="63" spans="2:24" x14ac:dyDescent="0.25">
      <c r="B63" s="82"/>
      <c r="C63" s="82"/>
      <c r="D63" s="121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</row>
    <row r="64" spans="2:24" x14ac:dyDescent="0.25">
      <c r="B64" s="82"/>
      <c r="C64" s="82"/>
      <c r="D64" s="121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</row>
    <row r="65" spans="2:16" x14ac:dyDescent="0.25">
      <c r="B65" s="82"/>
      <c r="C65" s="82"/>
      <c r="D65" s="121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</row>
    <row r="66" spans="2:16" x14ac:dyDescent="0.25">
      <c r="B66" s="82"/>
      <c r="C66" s="82"/>
      <c r="D66" s="121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</row>
    <row r="67" spans="2:16" x14ac:dyDescent="0.25">
      <c r="B67" s="82"/>
      <c r="C67" s="82"/>
      <c r="D67" s="12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2:16" x14ac:dyDescent="0.25">
      <c r="B68" s="82"/>
      <c r="C68" s="82"/>
      <c r="D68" s="121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</row>
    <row r="69" spans="2:16" x14ac:dyDescent="0.25">
      <c r="B69" s="82"/>
      <c r="C69" s="82"/>
      <c r="D69" s="121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</row>
    <row r="70" spans="2:16" x14ac:dyDescent="0.25">
      <c r="B70" s="82"/>
      <c r="C70" s="82"/>
      <c r="D70" s="121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</row>
    <row r="71" spans="2:16" x14ac:dyDescent="0.25">
      <c r="B71" s="82"/>
      <c r="C71" s="82"/>
      <c r="D71" s="121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</row>
    <row r="72" spans="2:16" x14ac:dyDescent="0.25">
      <c r="B72" s="82"/>
      <c r="C72" s="82"/>
      <c r="D72" s="121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</row>
    <row r="73" spans="2:16" x14ac:dyDescent="0.25">
      <c r="B73" s="82"/>
      <c r="C73" s="82"/>
      <c r="D73" s="121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</row>
    <row r="74" spans="2:16" x14ac:dyDescent="0.25">
      <c r="B74" s="82"/>
      <c r="C74" s="82"/>
      <c r="D74" s="121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</row>
    <row r="75" spans="2:16" x14ac:dyDescent="0.25">
      <c r="B75" s="82"/>
      <c r="C75" s="82"/>
      <c r="D75" s="121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</row>
    <row r="76" spans="2:16" x14ac:dyDescent="0.25">
      <c r="B76" s="82"/>
      <c r="C76" s="82"/>
      <c r="D76" s="121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</row>
    <row r="77" spans="2:16" x14ac:dyDescent="0.25">
      <c r="B77" s="82"/>
      <c r="C77" s="82"/>
      <c r="D77" s="121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</row>
    <row r="78" spans="2:16" x14ac:dyDescent="0.25">
      <c r="B78" s="82"/>
      <c r="C78" s="82"/>
      <c r="D78" s="121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</row>
    <row r="79" spans="2:16" x14ac:dyDescent="0.25">
      <c r="B79" s="82"/>
      <c r="C79" s="82"/>
      <c r="D79" s="121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</row>
    <row r="80" spans="2:16" x14ac:dyDescent="0.25">
      <c r="B80" s="82"/>
      <c r="C80" s="82"/>
      <c r="D80" s="121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</row>
    <row r="81" spans="2:16" x14ac:dyDescent="0.25">
      <c r="B81" s="82"/>
      <c r="C81" s="82"/>
      <c r="D81" s="121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</row>
    <row r="82" spans="2:16" x14ac:dyDescent="0.25">
      <c r="B82" s="82"/>
      <c r="C82" s="82"/>
      <c r="D82" s="121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</row>
    <row r="83" spans="2:16" x14ac:dyDescent="0.25">
      <c r="B83" s="82"/>
      <c r="C83" s="82"/>
      <c r="D83" s="121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</row>
    <row r="84" spans="2:16" x14ac:dyDescent="0.25">
      <c r="B84" s="82"/>
      <c r="C84" s="82"/>
      <c r="D84" s="121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</row>
    <row r="85" spans="2:16" x14ac:dyDescent="0.25">
      <c r="B85" s="82"/>
      <c r="C85" s="82"/>
      <c r="D85" s="121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</row>
    <row r="86" spans="2:16" x14ac:dyDescent="0.25">
      <c r="B86" s="82"/>
      <c r="C86" s="82"/>
      <c r="D86" s="121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</row>
    <row r="87" spans="2:16" x14ac:dyDescent="0.25">
      <c r="B87" s="82"/>
      <c r="C87" s="82"/>
      <c r="D87" s="121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</row>
    <row r="88" spans="2:16" x14ac:dyDescent="0.25">
      <c r="B88" s="82"/>
      <c r="C88" s="82"/>
      <c r="D88" s="121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</row>
    <row r="89" spans="2:16" x14ac:dyDescent="0.25">
      <c r="B89" s="82"/>
      <c r="C89" s="82"/>
      <c r="D89" s="121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</row>
    <row r="90" spans="2:16" x14ac:dyDescent="0.25">
      <c r="B90" s="82"/>
      <c r="C90" s="82"/>
      <c r="D90" s="121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</row>
    <row r="91" spans="2:16" x14ac:dyDescent="0.25">
      <c r="B91" s="82"/>
      <c r="C91" s="82"/>
      <c r="D91" s="121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</row>
    <row r="92" spans="2:16" x14ac:dyDescent="0.25">
      <c r="B92" s="82"/>
      <c r="C92" s="82"/>
      <c r="D92" s="121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2:16" x14ac:dyDescent="0.25">
      <c r="B93" s="82"/>
      <c r="C93" s="82"/>
      <c r="D93" s="121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2:16" x14ac:dyDescent="0.25">
      <c r="B94" s="82"/>
      <c r="C94" s="82"/>
      <c r="D94" s="121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2:16" x14ac:dyDescent="0.25">
      <c r="B95" s="82"/>
      <c r="C95" s="82"/>
      <c r="D95" s="121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2:16" x14ac:dyDescent="0.25">
      <c r="B96" s="82"/>
      <c r="C96" s="82"/>
      <c r="D96" s="121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2:16" x14ac:dyDescent="0.25">
      <c r="B97" s="82"/>
      <c r="C97" s="82"/>
      <c r="D97" s="121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3"/>
  <sheetViews>
    <sheetView showGridLines="0" view="pageBreakPreview" zoomScale="86" zoomScaleNormal="75" zoomScaleSheetLayoutView="86" workbookViewId="0">
      <selection activeCell="I28" sqref="I28"/>
    </sheetView>
  </sheetViews>
  <sheetFormatPr defaultColWidth="9.140625" defaultRowHeight="15.75" x14ac:dyDescent="0.25"/>
  <cols>
    <col min="1" max="1" width="3.140625" style="76" customWidth="1"/>
    <col min="2" max="2" width="9.140625" style="76"/>
    <col min="3" max="3" width="50.7109375" style="76" customWidth="1"/>
    <col min="4" max="5" width="12.7109375" style="76" customWidth="1"/>
    <col min="6" max="6" width="15.42578125" style="76" customWidth="1"/>
    <col min="7" max="8" width="12.7109375" style="76" customWidth="1"/>
    <col min="9" max="9" width="15.42578125" style="76" customWidth="1"/>
    <col min="10" max="11" width="12.7109375" style="76" customWidth="1"/>
    <col min="12" max="12" width="15.42578125" style="76" customWidth="1"/>
    <col min="13" max="13" width="35" style="82" customWidth="1"/>
    <col min="14" max="14" width="14.7109375" style="82" customWidth="1"/>
    <col min="15" max="15" width="15.85546875" style="82" customWidth="1"/>
    <col min="16" max="16" width="12.28515625" style="76" customWidth="1"/>
    <col min="17" max="17" width="13.42578125" style="76" customWidth="1"/>
    <col min="18" max="18" width="11.28515625" style="76" customWidth="1"/>
    <col min="19" max="19" width="12.42578125" style="76" customWidth="1"/>
    <col min="20" max="20" width="14.42578125" style="76" customWidth="1"/>
    <col min="21" max="21" width="15.140625" style="76" customWidth="1"/>
    <col min="22" max="22" width="11.28515625" style="76" customWidth="1"/>
    <col min="23" max="23" width="13.140625" style="76" customWidth="1"/>
    <col min="24" max="24" width="13" style="76" customWidth="1"/>
    <col min="25" max="25" width="14.140625" style="76" customWidth="1"/>
    <col min="26" max="26" width="26.5703125" style="76" customWidth="1"/>
    <col min="27" max="16384" width="9.140625" style="76"/>
  </cols>
  <sheetData>
    <row r="2" spans="2:24" ht="18.75" x14ac:dyDescent="0.3">
      <c r="L2" s="78" t="s">
        <v>205</v>
      </c>
    </row>
    <row r="4" spans="2:24" ht="18.75" x14ac:dyDescent="0.3">
      <c r="B4" s="597" t="s">
        <v>36</v>
      </c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122"/>
      <c r="N4" s="122"/>
      <c r="O4" s="122"/>
    </row>
    <row r="5" spans="2:24" ht="16.5" customHeight="1" thickBot="1" x14ac:dyDescent="0.35"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</row>
    <row r="6" spans="2:24" ht="25.5" customHeight="1" x14ac:dyDescent="0.25">
      <c r="B6" s="599" t="s">
        <v>3</v>
      </c>
      <c r="C6" s="599" t="s">
        <v>121</v>
      </c>
      <c r="D6" s="601" t="s">
        <v>261</v>
      </c>
      <c r="E6" s="602"/>
      <c r="F6" s="603"/>
      <c r="G6" s="601" t="s">
        <v>262</v>
      </c>
      <c r="H6" s="602"/>
      <c r="I6" s="603"/>
      <c r="J6" s="602" t="s">
        <v>209</v>
      </c>
      <c r="K6" s="602"/>
      <c r="L6" s="603"/>
      <c r="M6" s="125"/>
      <c r="N6" s="125"/>
      <c r="O6" s="576"/>
      <c r="P6" s="577"/>
      <c r="Q6" s="576"/>
      <c r="R6" s="577"/>
      <c r="S6" s="576"/>
      <c r="T6" s="577"/>
      <c r="U6" s="576"/>
      <c r="V6" s="577"/>
      <c r="W6" s="577"/>
      <c r="X6" s="577"/>
    </row>
    <row r="7" spans="2:24" ht="36.75" customHeight="1" thickBot="1" x14ac:dyDescent="0.3">
      <c r="B7" s="600"/>
      <c r="C7" s="600"/>
      <c r="D7" s="604"/>
      <c r="E7" s="605"/>
      <c r="F7" s="606"/>
      <c r="G7" s="604"/>
      <c r="H7" s="605"/>
      <c r="I7" s="606"/>
      <c r="J7" s="605"/>
      <c r="K7" s="605"/>
      <c r="L7" s="606"/>
      <c r="M7" s="126"/>
      <c r="N7" s="125"/>
      <c r="O7" s="576"/>
      <c r="P7" s="576"/>
      <c r="Q7" s="576"/>
      <c r="R7" s="576"/>
      <c r="S7" s="576"/>
      <c r="T7" s="577"/>
      <c r="U7" s="576"/>
      <c r="V7" s="577"/>
      <c r="W7" s="577"/>
      <c r="X7" s="577"/>
    </row>
    <row r="8" spans="2:24" s="92" customFormat="1" ht="36.75" customHeight="1" x14ac:dyDescent="0.3">
      <c r="B8" s="127"/>
      <c r="C8" s="128" t="s">
        <v>741</v>
      </c>
      <c r="D8" s="607">
        <v>186</v>
      </c>
      <c r="E8" s="608"/>
      <c r="F8" s="609"/>
      <c r="G8" s="607">
        <v>23</v>
      </c>
      <c r="H8" s="608"/>
      <c r="I8" s="609"/>
      <c r="J8" s="607"/>
      <c r="K8" s="608"/>
      <c r="L8" s="609"/>
      <c r="M8" s="129"/>
      <c r="N8" s="129"/>
      <c r="O8" s="130"/>
      <c r="P8" s="130"/>
      <c r="Q8" s="130"/>
      <c r="R8" s="130"/>
      <c r="S8" s="130"/>
      <c r="T8" s="111"/>
      <c r="U8" s="130"/>
      <c r="V8" s="111"/>
      <c r="W8" s="111"/>
      <c r="X8" s="111"/>
    </row>
    <row r="9" spans="2:24" s="92" customFormat="1" ht="24.95" customHeight="1" x14ac:dyDescent="0.3">
      <c r="B9" s="131"/>
      <c r="C9" s="132" t="s">
        <v>17</v>
      </c>
      <c r="D9" s="598"/>
      <c r="E9" s="595"/>
      <c r="F9" s="596"/>
      <c r="G9" s="594"/>
      <c r="H9" s="595"/>
      <c r="I9" s="596"/>
      <c r="J9" s="594"/>
      <c r="K9" s="595"/>
      <c r="L9" s="596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0" spans="2:24" s="92" customFormat="1" ht="24.95" customHeight="1" x14ac:dyDescent="0.3">
      <c r="B10" s="131" t="s">
        <v>50</v>
      </c>
      <c r="C10" s="133" t="s">
        <v>763</v>
      </c>
      <c r="D10" s="598"/>
      <c r="E10" s="595"/>
      <c r="F10" s="596"/>
      <c r="G10" s="594">
        <v>11</v>
      </c>
      <c r="H10" s="595"/>
      <c r="I10" s="596"/>
      <c r="J10" s="594"/>
      <c r="K10" s="595"/>
      <c r="L10" s="596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pans="2:24" s="92" customFormat="1" ht="24.95" customHeight="1" x14ac:dyDescent="0.3">
      <c r="B11" s="131" t="s">
        <v>51</v>
      </c>
      <c r="C11" s="133" t="s">
        <v>721</v>
      </c>
      <c r="D11" s="598">
        <v>8</v>
      </c>
      <c r="E11" s="595"/>
      <c r="F11" s="596"/>
      <c r="G11" s="594">
        <v>2</v>
      </c>
      <c r="H11" s="595"/>
      <c r="I11" s="596"/>
      <c r="J11" s="594"/>
      <c r="K11" s="595"/>
      <c r="L11" s="596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</row>
    <row r="12" spans="2:24" s="92" customFormat="1" ht="24.95" customHeight="1" x14ac:dyDescent="0.3">
      <c r="B12" s="131" t="s">
        <v>52</v>
      </c>
      <c r="C12" s="133" t="s">
        <v>722</v>
      </c>
      <c r="D12" s="598">
        <v>1</v>
      </c>
      <c r="E12" s="595"/>
      <c r="F12" s="596"/>
      <c r="G12" s="594"/>
      <c r="H12" s="595"/>
      <c r="I12" s="596"/>
      <c r="J12" s="594"/>
      <c r="K12" s="595"/>
      <c r="L12" s="596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</row>
    <row r="13" spans="2:24" s="92" customFormat="1" ht="24.95" customHeight="1" x14ac:dyDescent="0.3">
      <c r="B13" s="131" t="s">
        <v>53</v>
      </c>
      <c r="C13" s="133" t="s">
        <v>732</v>
      </c>
      <c r="D13" s="134"/>
      <c r="E13" s="135">
        <v>3</v>
      </c>
      <c r="F13" s="136"/>
      <c r="G13" s="137"/>
      <c r="H13" s="135">
        <v>1</v>
      </c>
      <c r="I13" s="136"/>
      <c r="J13" s="137"/>
      <c r="K13" s="135"/>
      <c r="L13" s="136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spans="2:24" s="92" customFormat="1" ht="24.95" customHeight="1" x14ac:dyDescent="0.3">
      <c r="B14" s="131" t="s">
        <v>54</v>
      </c>
      <c r="C14" s="133" t="s">
        <v>733</v>
      </c>
      <c r="D14" s="598">
        <v>4</v>
      </c>
      <c r="E14" s="595"/>
      <c r="F14" s="596"/>
      <c r="G14" s="594"/>
      <c r="H14" s="595"/>
      <c r="I14" s="596"/>
      <c r="J14" s="594"/>
      <c r="K14" s="595"/>
      <c r="L14" s="596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2:24" s="92" customFormat="1" ht="24.95" customHeight="1" x14ac:dyDescent="0.3">
      <c r="B15" s="131" t="s">
        <v>55</v>
      </c>
      <c r="C15" s="133" t="s">
        <v>761</v>
      </c>
      <c r="D15" s="478"/>
      <c r="E15" s="476">
        <v>1</v>
      </c>
      <c r="F15" s="477"/>
      <c r="G15" s="476"/>
      <c r="H15" s="476">
        <v>1</v>
      </c>
      <c r="I15" s="477"/>
      <c r="J15" s="476"/>
      <c r="K15" s="476"/>
      <c r="L15" s="477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2:24" s="92" customFormat="1" ht="24.95" customHeight="1" x14ac:dyDescent="0.3">
      <c r="B16" s="131" t="s">
        <v>776</v>
      </c>
      <c r="C16" s="133" t="s">
        <v>777</v>
      </c>
      <c r="D16" s="468"/>
      <c r="E16" s="469"/>
      <c r="F16" s="470"/>
      <c r="G16" s="469"/>
      <c r="H16" s="469">
        <v>1</v>
      </c>
      <c r="I16" s="470"/>
      <c r="J16" s="469"/>
      <c r="K16" s="469"/>
      <c r="L16" s="470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spans="2:25" s="92" customFormat="1" ht="4.5" customHeight="1" x14ac:dyDescent="0.3">
      <c r="B17" s="138"/>
      <c r="C17" s="133"/>
      <c r="D17" s="139"/>
      <c r="E17" s="140"/>
      <c r="F17" s="141"/>
      <c r="G17" s="139"/>
      <c r="H17" s="140"/>
      <c r="I17" s="141"/>
      <c r="J17" s="142"/>
      <c r="K17" s="140"/>
      <c r="L17" s="14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spans="2:25" s="92" customFormat="1" ht="24.95" customHeight="1" x14ac:dyDescent="0.3">
      <c r="B18" s="131"/>
      <c r="C18" s="132" t="s">
        <v>18</v>
      </c>
      <c r="D18" s="598"/>
      <c r="E18" s="595"/>
      <c r="F18" s="596"/>
      <c r="G18" s="594"/>
      <c r="H18" s="595"/>
      <c r="I18" s="596"/>
      <c r="J18" s="594"/>
      <c r="K18" s="595"/>
      <c r="L18" s="596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pans="2:25" s="92" customFormat="1" ht="24.95" customHeight="1" x14ac:dyDescent="0.3">
      <c r="B19" s="131" t="s">
        <v>50</v>
      </c>
      <c r="C19" s="143" t="s">
        <v>763</v>
      </c>
      <c r="D19" s="598">
        <v>11</v>
      </c>
      <c r="E19" s="595"/>
      <c r="F19" s="596"/>
      <c r="G19" s="594"/>
      <c r="H19" s="595"/>
      <c r="I19" s="596"/>
      <c r="J19" s="594"/>
      <c r="K19" s="595"/>
      <c r="L19" s="596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pans="2:25" s="92" customFormat="1" ht="24.95" customHeight="1" x14ac:dyDescent="0.3">
      <c r="B20" s="131" t="s">
        <v>51</v>
      </c>
      <c r="C20" s="143" t="s">
        <v>723</v>
      </c>
      <c r="D20" s="598">
        <v>1</v>
      </c>
      <c r="E20" s="595"/>
      <c r="F20" s="596"/>
      <c r="G20" s="594">
        <v>17</v>
      </c>
      <c r="H20" s="595"/>
      <c r="I20" s="596"/>
      <c r="J20" s="594"/>
      <c r="K20" s="595"/>
      <c r="L20" s="596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pans="2:25" s="92" customFormat="1" ht="24.95" customHeight="1" x14ac:dyDescent="0.3">
      <c r="B21" s="144" t="s">
        <v>52</v>
      </c>
      <c r="C21" s="145" t="s">
        <v>734</v>
      </c>
      <c r="D21" s="134"/>
      <c r="E21" s="135"/>
      <c r="F21" s="136"/>
      <c r="G21" s="137"/>
      <c r="H21" s="135"/>
      <c r="I21" s="136"/>
      <c r="J21" s="137"/>
      <c r="K21" s="135"/>
      <c r="L21" s="136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pans="2:25" s="92" customFormat="1" ht="24.95" customHeight="1" x14ac:dyDescent="0.3">
      <c r="B22" s="144" t="s">
        <v>53</v>
      </c>
      <c r="C22" s="145" t="s">
        <v>758</v>
      </c>
      <c r="D22" s="598">
        <v>1</v>
      </c>
      <c r="E22" s="595"/>
      <c r="F22" s="596"/>
      <c r="G22" s="594"/>
      <c r="H22" s="595"/>
      <c r="I22" s="596"/>
      <c r="J22" s="594"/>
      <c r="K22" s="595"/>
      <c r="L22" s="596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</row>
    <row r="23" spans="2:25" s="92" customFormat="1" ht="24.95" customHeight="1" thickBot="1" x14ac:dyDescent="0.35">
      <c r="B23" s="131" t="s">
        <v>54</v>
      </c>
      <c r="C23" s="133" t="s">
        <v>762</v>
      </c>
      <c r="D23" s="591"/>
      <c r="E23" s="592"/>
      <c r="F23" s="593"/>
      <c r="G23" s="594"/>
      <c r="H23" s="595"/>
      <c r="I23" s="596"/>
      <c r="J23" s="594">
        <v>3</v>
      </c>
      <c r="K23" s="595"/>
      <c r="L23" s="596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</row>
    <row r="24" spans="2:25" s="152" customFormat="1" ht="36.75" customHeight="1" thickBot="1" x14ac:dyDescent="0.35">
      <c r="B24" s="611"/>
      <c r="C24" s="613" t="s">
        <v>775</v>
      </c>
      <c r="D24" s="146" t="s">
        <v>236</v>
      </c>
      <c r="E24" s="147" t="s">
        <v>234</v>
      </c>
      <c r="F24" s="148" t="s">
        <v>235</v>
      </c>
      <c r="G24" s="149" t="s">
        <v>236</v>
      </c>
      <c r="H24" s="147" t="s">
        <v>234</v>
      </c>
      <c r="I24" s="150" t="s">
        <v>235</v>
      </c>
      <c r="J24" s="146" t="s">
        <v>236</v>
      </c>
      <c r="K24" s="147" t="s">
        <v>234</v>
      </c>
      <c r="L24" s="150" t="s">
        <v>235</v>
      </c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</row>
    <row r="25" spans="2:25" s="152" customFormat="1" ht="36.75" customHeight="1" thickBot="1" x14ac:dyDescent="0.35">
      <c r="B25" s="612"/>
      <c r="C25" s="614"/>
      <c r="D25" s="153">
        <f>D8-D11-D12-E13-D14-E15+D19+D20+D22</f>
        <v>182</v>
      </c>
      <c r="E25" s="154">
        <v>38</v>
      </c>
      <c r="F25" s="154">
        <v>144</v>
      </c>
      <c r="G25" s="155">
        <f>G8-G10-G11-H13-H15-H16+G20</f>
        <v>24</v>
      </c>
      <c r="H25" s="154">
        <v>10</v>
      </c>
      <c r="I25" s="156">
        <v>14</v>
      </c>
      <c r="J25" s="153">
        <v>3</v>
      </c>
      <c r="K25" s="154">
        <v>3</v>
      </c>
      <c r="L25" s="156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spans="2:25" s="92" customFormat="1" ht="18.75" x14ac:dyDescent="0.3">
      <c r="B26" s="157"/>
      <c r="C26" s="158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pans="2:25" s="92" customFormat="1" ht="18.75" x14ac:dyDescent="0.3"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2:25" s="92" customFormat="1" ht="18.75" x14ac:dyDescent="0.3">
      <c r="C28" s="92" t="s">
        <v>210</v>
      </c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2:25" s="92" customFormat="1" ht="18.75" x14ac:dyDescent="0.3">
      <c r="C29" s="92" t="s">
        <v>571</v>
      </c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2:25" s="92" customFormat="1" ht="18.75" x14ac:dyDescent="0.3"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2:25" s="92" customFormat="1" ht="18.75" customHeight="1" x14ac:dyDescent="0.3"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2:25" s="92" customFormat="1" ht="18.75" x14ac:dyDescent="0.3">
      <c r="C32" s="159"/>
      <c r="M32" s="610"/>
      <c r="N32" s="610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4:25" ht="18.75" x14ac:dyDescent="0.3">
      <c r="D33" s="160"/>
      <c r="E33" s="160"/>
      <c r="F33" s="160"/>
      <c r="G33" s="160"/>
      <c r="H33" s="160"/>
      <c r="I33" s="160"/>
      <c r="J33" s="160"/>
      <c r="K33" s="160"/>
      <c r="L33" s="160"/>
      <c r="P33" s="82"/>
      <c r="Q33" s="82"/>
      <c r="R33" s="82"/>
      <c r="S33" s="82"/>
      <c r="T33" s="82"/>
      <c r="U33" s="82"/>
      <c r="V33" s="82"/>
      <c r="W33" s="82"/>
      <c r="X33" s="82"/>
      <c r="Y33" s="82"/>
    </row>
  </sheetData>
  <mergeCells count="52">
    <mergeCell ref="W6:W7"/>
    <mergeCell ref="X6:X7"/>
    <mergeCell ref="B24:B25"/>
    <mergeCell ref="C24:C25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2:N32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8:F18"/>
    <mergeCell ref="D19:F19"/>
    <mergeCell ref="D20:F20"/>
    <mergeCell ref="D22:F22"/>
    <mergeCell ref="G18:I18"/>
    <mergeCell ref="G19:I19"/>
    <mergeCell ref="G20:I20"/>
    <mergeCell ref="G22:I22"/>
    <mergeCell ref="B6:B7"/>
    <mergeCell ref="C6:C7"/>
    <mergeCell ref="D6:F7"/>
    <mergeCell ref="J14:L14"/>
    <mergeCell ref="D23:F23"/>
    <mergeCell ref="G23:I23"/>
    <mergeCell ref="J23:L23"/>
    <mergeCell ref="J18:L18"/>
    <mergeCell ref="J19:L19"/>
    <mergeCell ref="J20:L20"/>
    <mergeCell ref="J22:L22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view="pageBreakPreview" zoomScale="86" zoomScaleNormal="100" zoomScaleSheetLayoutView="86" workbookViewId="0">
      <selection activeCell="F13" sqref="F13"/>
    </sheetView>
  </sheetViews>
  <sheetFormatPr defaultRowHeight="12.75" x14ac:dyDescent="0.2"/>
  <cols>
    <col min="1" max="1" width="3.42578125" style="161" customWidth="1"/>
    <col min="2" max="2" width="18.140625" style="161" customWidth="1"/>
    <col min="3" max="3" width="33.5703125" style="161" customWidth="1"/>
    <col min="4" max="4" width="19.140625" style="161" customWidth="1"/>
    <col min="5" max="5" width="20.7109375" style="161" customWidth="1"/>
    <col min="6" max="6" width="18.28515625" style="161" customWidth="1"/>
    <col min="7" max="7" width="18.85546875" style="161" customWidth="1"/>
    <col min="8" max="257" width="9.140625" style="161"/>
    <col min="258" max="258" width="19.7109375" style="161" customWidth="1"/>
    <col min="259" max="259" width="20.7109375" style="161" customWidth="1"/>
    <col min="260" max="260" width="19.140625" style="161" customWidth="1"/>
    <col min="261" max="261" width="20.7109375" style="161" customWidth="1"/>
    <col min="262" max="262" width="18.28515625" style="161" customWidth="1"/>
    <col min="263" max="263" width="18.85546875" style="161" customWidth="1"/>
    <col min="264" max="513" width="9.140625" style="161"/>
    <col min="514" max="514" width="19.7109375" style="161" customWidth="1"/>
    <col min="515" max="515" width="20.7109375" style="161" customWidth="1"/>
    <col min="516" max="516" width="19.140625" style="161" customWidth="1"/>
    <col min="517" max="517" width="20.7109375" style="161" customWidth="1"/>
    <col min="518" max="518" width="18.28515625" style="161" customWidth="1"/>
    <col min="519" max="519" width="18.85546875" style="161" customWidth="1"/>
    <col min="520" max="769" width="9.140625" style="161"/>
    <col min="770" max="770" width="19.7109375" style="161" customWidth="1"/>
    <col min="771" max="771" width="20.7109375" style="161" customWidth="1"/>
    <col min="772" max="772" width="19.140625" style="161" customWidth="1"/>
    <col min="773" max="773" width="20.7109375" style="161" customWidth="1"/>
    <col min="774" max="774" width="18.28515625" style="161" customWidth="1"/>
    <col min="775" max="775" width="18.85546875" style="161" customWidth="1"/>
    <col min="776" max="1025" width="9.140625" style="161"/>
    <col min="1026" max="1026" width="19.7109375" style="161" customWidth="1"/>
    <col min="1027" max="1027" width="20.7109375" style="161" customWidth="1"/>
    <col min="1028" max="1028" width="19.140625" style="161" customWidth="1"/>
    <col min="1029" max="1029" width="20.7109375" style="161" customWidth="1"/>
    <col min="1030" max="1030" width="18.28515625" style="161" customWidth="1"/>
    <col min="1031" max="1031" width="18.85546875" style="161" customWidth="1"/>
    <col min="1032" max="1281" width="9.140625" style="161"/>
    <col min="1282" max="1282" width="19.7109375" style="161" customWidth="1"/>
    <col min="1283" max="1283" width="20.7109375" style="161" customWidth="1"/>
    <col min="1284" max="1284" width="19.140625" style="161" customWidth="1"/>
    <col min="1285" max="1285" width="20.7109375" style="161" customWidth="1"/>
    <col min="1286" max="1286" width="18.28515625" style="161" customWidth="1"/>
    <col min="1287" max="1287" width="18.85546875" style="161" customWidth="1"/>
    <col min="1288" max="1537" width="9.140625" style="161"/>
    <col min="1538" max="1538" width="19.7109375" style="161" customWidth="1"/>
    <col min="1539" max="1539" width="20.7109375" style="161" customWidth="1"/>
    <col min="1540" max="1540" width="19.140625" style="161" customWidth="1"/>
    <col min="1541" max="1541" width="20.7109375" style="161" customWidth="1"/>
    <col min="1542" max="1542" width="18.28515625" style="161" customWidth="1"/>
    <col min="1543" max="1543" width="18.85546875" style="161" customWidth="1"/>
    <col min="1544" max="1793" width="9.140625" style="161"/>
    <col min="1794" max="1794" width="19.7109375" style="161" customWidth="1"/>
    <col min="1795" max="1795" width="20.7109375" style="161" customWidth="1"/>
    <col min="1796" max="1796" width="19.140625" style="161" customWidth="1"/>
    <col min="1797" max="1797" width="20.7109375" style="161" customWidth="1"/>
    <col min="1798" max="1798" width="18.28515625" style="161" customWidth="1"/>
    <col min="1799" max="1799" width="18.85546875" style="161" customWidth="1"/>
    <col min="1800" max="2049" width="9.140625" style="161"/>
    <col min="2050" max="2050" width="19.7109375" style="161" customWidth="1"/>
    <col min="2051" max="2051" width="20.7109375" style="161" customWidth="1"/>
    <col min="2052" max="2052" width="19.140625" style="161" customWidth="1"/>
    <col min="2053" max="2053" width="20.7109375" style="161" customWidth="1"/>
    <col min="2054" max="2054" width="18.28515625" style="161" customWidth="1"/>
    <col min="2055" max="2055" width="18.85546875" style="161" customWidth="1"/>
    <col min="2056" max="2305" width="9.140625" style="161"/>
    <col min="2306" max="2306" width="19.7109375" style="161" customWidth="1"/>
    <col min="2307" max="2307" width="20.7109375" style="161" customWidth="1"/>
    <col min="2308" max="2308" width="19.140625" style="161" customWidth="1"/>
    <col min="2309" max="2309" width="20.7109375" style="161" customWidth="1"/>
    <col min="2310" max="2310" width="18.28515625" style="161" customWidth="1"/>
    <col min="2311" max="2311" width="18.85546875" style="161" customWidth="1"/>
    <col min="2312" max="2561" width="9.140625" style="161"/>
    <col min="2562" max="2562" width="19.7109375" style="161" customWidth="1"/>
    <col min="2563" max="2563" width="20.7109375" style="161" customWidth="1"/>
    <col min="2564" max="2564" width="19.140625" style="161" customWidth="1"/>
    <col min="2565" max="2565" width="20.7109375" style="161" customWidth="1"/>
    <col min="2566" max="2566" width="18.28515625" style="161" customWidth="1"/>
    <col min="2567" max="2567" width="18.85546875" style="161" customWidth="1"/>
    <col min="2568" max="2817" width="9.140625" style="161"/>
    <col min="2818" max="2818" width="19.7109375" style="161" customWidth="1"/>
    <col min="2819" max="2819" width="20.7109375" style="161" customWidth="1"/>
    <col min="2820" max="2820" width="19.140625" style="161" customWidth="1"/>
    <col min="2821" max="2821" width="20.7109375" style="161" customWidth="1"/>
    <col min="2822" max="2822" width="18.28515625" style="161" customWidth="1"/>
    <col min="2823" max="2823" width="18.85546875" style="161" customWidth="1"/>
    <col min="2824" max="3073" width="9.140625" style="161"/>
    <col min="3074" max="3074" width="19.7109375" style="161" customWidth="1"/>
    <col min="3075" max="3075" width="20.7109375" style="161" customWidth="1"/>
    <col min="3076" max="3076" width="19.140625" style="161" customWidth="1"/>
    <col min="3077" max="3077" width="20.7109375" style="161" customWidth="1"/>
    <col min="3078" max="3078" width="18.28515625" style="161" customWidth="1"/>
    <col min="3079" max="3079" width="18.85546875" style="161" customWidth="1"/>
    <col min="3080" max="3329" width="9.140625" style="161"/>
    <col min="3330" max="3330" width="19.7109375" style="161" customWidth="1"/>
    <col min="3331" max="3331" width="20.7109375" style="161" customWidth="1"/>
    <col min="3332" max="3332" width="19.140625" style="161" customWidth="1"/>
    <col min="3333" max="3333" width="20.7109375" style="161" customWidth="1"/>
    <col min="3334" max="3334" width="18.28515625" style="161" customWidth="1"/>
    <col min="3335" max="3335" width="18.85546875" style="161" customWidth="1"/>
    <col min="3336" max="3585" width="9.140625" style="161"/>
    <col min="3586" max="3586" width="19.7109375" style="161" customWidth="1"/>
    <col min="3587" max="3587" width="20.7109375" style="161" customWidth="1"/>
    <col min="3588" max="3588" width="19.140625" style="161" customWidth="1"/>
    <col min="3589" max="3589" width="20.7109375" style="161" customWidth="1"/>
    <col min="3590" max="3590" width="18.28515625" style="161" customWidth="1"/>
    <col min="3591" max="3591" width="18.85546875" style="161" customWidth="1"/>
    <col min="3592" max="3841" width="9.140625" style="161"/>
    <col min="3842" max="3842" width="19.7109375" style="161" customWidth="1"/>
    <col min="3843" max="3843" width="20.7109375" style="161" customWidth="1"/>
    <col min="3844" max="3844" width="19.140625" style="161" customWidth="1"/>
    <col min="3845" max="3845" width="20.7109375" style="161" customWidth="1"/>
    <col min="3846" max="3846" width="18.28515625" style="161" customWidth="1"/>
    <col min="3847" max="3847" width="18.85546875" style="161" customWidth="1"/>
    <col min="3848" max="4097" width="9.140625" style="161"/>
    <col min="4098" max="4098" width="19.7109375" style="161" customWidth="1"/>
    <col min="4099" max="4099" width="20.7109375" style="161" customWidth="1"/>
    <col min="4100" max="4100" width="19.140625" style="161" customWidth="1"/>
    <col min="4101" max="4101" width="20.7109375" style="161" customWidth="1"/>
    <col min="4102" max="4102" width="18.28515625" style="161" customWidth="1"/>
    <col min="4103" max="4103" width="18.85546875" style="161" customWidth="1"/>
    <col min="4104" max="4353" width="9.140625" style="161"/>
    <col min="4354" max="4354" width="19.7109375" style="161" customWidth="1"/>
    <col min="4355" max="4355" width="20.7109375" style="161" customWidth="1"/>
    <col min="4356" max="4356" width="19.140625" style="161" customWidth="1"/>
    <col min="4357" max="4357" width="20.7109375" style="161" customWidth="1"/>
    <col min="4358" max="4358" width="18.28515625" style="161" customWidth="1"/>
    <col min="4359" max="4359" width="18.85546875" style="161" customWidth="1"/>
    <col min="4360" max="4609" width="9.140625" style="161"/>
    <col min="4610" max="4610" width="19.7109375" style="161" customWidth="1"/>
    <col min="4611" max="4611" width="20.7109375" style="161" customWidth="1"/>
    <col min="4612" max="4612" width="19.140625" style="161" customWidth="1"/>
    <col min="4613" max="4613" width="20.7109375" style="161" customWidth="1"/>
    <col min="4614" max="4614" width="18.28515625" style="161" customWidth="1"/>
    <col min="4615" max="4615" width="18.85546875" style="161" customWidth="1"/>
    <col min="4616" max="4865" width="9.140625" style="161"/>
    <col min="4866" max="4866" width="19.7109375" style="161" customWidth="1"/>
    <col min="4867" max="4867" width="20.7109375" style="161" customWidth="1"/>
    <col min="4868" max="4868" width="19.140625" style="161" customWidth="1"/>
    <col min="4869" max="4869" width="20.7109375" style="161" customWidth="1"/>
    <col min="4870" max="4870" width="18.28515625" style="161" customWidth="1"/>
    <col min="4871" max="4871" width="18.85546875" style="161" customWidth="1"/>
    <col min="4872" max="5121" width="9.140625" style="161"/>
    <col min="5122" max="5122" width="19.7109375" style="161" customWidth="1"/>
    <col min="5123" max="5123" width="20.7109375" style="161" customWidth="1"/>
    <col min="5124" max="5124" width="19.140625" style="161" customWidth="1"/>
    <col min="5125" max="5125" width="20.7109375" style="161" customWidth="1"/>
    <col min="5126" max="5126" width="18.28515625" style="161" customWidth="1"/>
    <col min="5127" max="5127" width="18.85546875" style="161" customWidth="1"/>
    <col min="5128" max="5377" width="9.140625" style="161"/>
    <col min="5378" max="5378" width="19.7109375" style="161" customWidth="1"/>
    <col min="5379" max="5379" width="20.7109375" style="161" customWidth="1"/>
    <col min="5380" max="5380" width="19.140625" style="161" customWidth="1"/>
    <col min="5381" max="5381" width="20.7109375" style="161" customWidth="1"/>
    <col min="5382" max="5382" width="18.28515625" style="161" customWidth="1"/>
    <col min="5383" max="5383" width="18.85546875" style="161" customWidth="1"/>
    <col min="5384" max="5633" width="9.140625" style="161"/>
    <col min="5634" max="5634" width="19.7109375" style="161" customWidth="1"/>
    <col min="5635" max="5635" width="20.7109375" style="161" customWidth="1"/>
    <col min="5636" max="5636" width="19.140625" style="161" customWidth="1"/>
    <col min="5637" max="5637" width="20.7109375" style="161" customWidth="1"/>
    <col min="5638" max="5638" width="18.28515625" style="161" customWidth="1"/>
    <col min="5639" max="5639" width="18.85546875" style="161" customWidth="1"/>
    <col min="5640" max="5889" width="9.140625" style="161"/>
    <col min="5890" max="5890" width="19.7109375" style="161" customWidth="1"/>
    <col min="5891" max="5891" width="20.7109375" style="161" customWidth="1"/>
    <col min="5892" max="5892" width="19.140625" style="161" customWidth="1"/>
    <col min="5893" max="5893" width="20.7109375" style="161" customWidth="1"/>
    <col min="5894" max="5894" width="18.28515625" style="161" customWidth="1"/>
    <col min="5895" max="5895" width="18.85546875" style="161" customWidth="1"/>
    <col min="5896" max="6145" width="9.140625" style="161"/>
    <col min="6146" max="6146" width="19.7109375" style="161" customWidth="1"/>
    <col min="6147" max="6147" width="20.7109375" style="161" customWidth="1"/>
    <col min="6148" max="6148" width="19.140625" style="161" customWidth="1"/>
    <col min="6149" max="6149" width="20.7109375" style="161" customWidth="1"/>
    <col min="6150" max="6150" width="18.28515625" style="161" customWidth="1"/>
    <col min="6151" max="6151" width="18.85546875" style="161" customWidth="1"/>
    <col min="6152" max="6401" width="9.140625" style="161"/>
    <col min="6402" max="6402" width="19.7109375" style="161" customWidth="1"/>
    <col min="6403" max="6403" width="20.7109375" style="161" customWidth="1"/>
    <col min="6404" max="6404" width="19.140625" style="161" customWidth="1"/>
    <col min="6405" max="6405" width="20.7109375" style="161" customWidth="1"/>
    <col min="6406" max="6406" width="18.28515625" style="161" customWidth="1"/>
    <col min="6407" max="6407" width="18.85546875" style="161" customWidth="1"/>
    <col min="6408" max="6657" width="9.140625" style="161"/>
    <col min="6658" max="6658" width="19.7109375" style="161" customWidth="1"/>
    <col min="6659" max="6659" width="20.7109375" style="161" customWidth="1"/>
    <col min="6660" max="6660" width="19.140625" style="161" customWidth="1"/>
    <col min="6661" max="6661" width="20.7109375" style="161" customWidth="1"/>
    <col min="6662" max="6662" width="18.28515625" style="161" customWidth="1"/>
    <col min="6663" max="6663" width="18.85546875" style="161" customWidth="1"/>
    <col min="6664" max="6913" width="9.140625" style="161"/>
    <col min="6914" max="6914" width="19.7109375" style="161" customWidth="1"/>
    <col min="6915" max="6915" width="20.7109375" style="161" customWidth="1"/>
    <col min="6916" max="6916" width="19.140625" style="161" customWidth="1"/>
    <col min="6917" max="6917" width="20.7109375" style="161" customWidth="1"/>
    <col min="6918" max="6918" width="18.28515625" style="161" customWidth="1"/>
    <col min="6919" max="6919" width="18.85546875" style="161" customWidth="1"/>
    <col min="6920" max="7169" width="9.140625" style="161"/>
    <col min="7170" max="7170" width="19.7109375" style="161" customWidth="1"/>
    <col min="7171" max="7171" width="20.7109375" style="161" customWidth="1"/>
    <col min="7172" max="7172" width="19.140625" style="161" customWidth="1"/>
    <col min="7173" max="7173" width="20.7109375" style="161" customWidth="1"/>
    <col min="7174" max="7174" width="18.28515625" style="161" customWidth="1"/>
    <col min="7175" max="7175" width="18.85546875" style="161" customWidth="1"/>
    <col min="7176" max="7425" width="9.140625" style="161"/>
    <col min="7426" max="7426" width="19.7109375" style="161" customWidth="1"/>
    <col min="7427" max="7427" width="20.7109375" style="161" customWidth="1"/>
    <col min="7428" max="7428" width="19.140625" style="161" customWidth="1"/>
    <col min="7429" max="7429" width="20.7109375" style="161" customWidth="1"/>
    <col min="7430" max="7430" width="18.28515625" style="161" customWidth="1"/>
    <col min="7431" max="7431" width="18.85546875" style="161" customWidth="1"/>
    <col min="7432" max="7681" width="9.140625" style="161"/>
    <col min="7682" max="7682" width="19.7109375" style="161" customWidth="1"/>
    <col min="7683" max="7683" width="20.7109375" style="161" customWidth="1"/>
    <col min="7684" max="7684" width="19.140625" style="161" customWidth="1"/>
    <col min="7685" max="7685" width="20.7109375" style="161" customWidth="1"/>
    <col min="7686" max="7686" width="18.28515625" style="161" customWidth="1"/>
    <col min="7687" max="7687" width="18.85546875" style="161" customWidth="1"/>
    <col min="7688" max="7937" width="9.140625" style="161"/>
    <col min="7938" max="7938" width="19.7109375" style="161" customWidth="1"/>
    <col min="7939" max="7939" width="20.7109375" style="161" customWidth="1"/>
    <col min="7940" max="7940" width="19.140625" style="161" customWidth="1"/>
    <col min="7941" max="7941" width="20.7109375" style="161" customWidth="1"/>
    <col min="7942" max="7942" width="18.28515625" style="161" customWidth="1"/>
    <col min="7943" max="7943" width="18.85546875" style="161" customWidth="1"/>
    <col min="7944" max="8193" width="9.140625" style="161"/>
    <col min="8194" max="8194" width="19.7109375" style="161" customWidth="1"/>
    <col min="8195" max="8195" width="20.7109375" style="161" customWidth="1"/>
    <col min="8196" max="8196" width="19.140625" style="161" customWidth="1"/>
    <col min="8197" max="8197" width="20.7109375" style="161" customWidth="1"/>
    <col min="8198" max="8198" width="18.28515625" style="161" customWidth="1"/>
    <col min="8199" max="8199" width="18.85546875" style="161" customWidth="1"/>
    <col min="8200" max="8449" width="9.140625" style="161"/>
    <col min="8450" max="8450" width="19.7109375" style="161" customWidth="1"/>
    <col min="8451" max="8451" width="20.7109375" style="161" customWidth="1"/>
    <col min="8452" max="8452" width="19.140625" style="161" customWidth="1"/>
    <col min="8453" max="8453" width="20.7109375" style="161" customWidth="1"/>
    <col min="8454" max="8454" width="18.28515625" style="161" customWidth="1"/>
    <col min="8455" max="8455" width="18.85546875" style="161" customWidth="1"/>
    <col min="8456" max="8705" width="9.140625" style="161"/>
    <col min="8706" max="8706" width="19.7109375" style="161" customWidth="1"/>
    <col min="8707" max="8707" width="20.7109375" style="161" customWidth="1"/>
    <col min="8708" max="8708" width="19.140625" style="161" customWidth="1"/>
    <col min="8709" max="8709" width="20.7109375" style="161" customWidth="1"/>
    <col min="8710" max="8710" width="18.28515625" style="161" customWidth="1"/>
    <col min="8711" max="8711" width="18.85546875" style="161" customWidth="1"/>
    <col min="8712" max="8961" width="9.140625" style="161"/>
    <col min="8962" max="8962" width="19.7109375" style="161" customWidth="1"/>
    <col min="8963" max="8963" width="20.7109375" style="161" customWidth="1"/>
    <col min="8964" max="8964" width="19.140625" style="161" customWidth="1"/>
    <col min="8965" max="8965" width="20.7109375" style="161" customWidth="1"/>
    <col min="8966" max="8966" width="18.28515625" style="161" customWidth="1"/>
    <col min="8967" max="8967" width="18.85546875" style="161" customWidth="1"/>
    <col min="8968" max="9217" width="9.140625" style="161"/>
    <col min="9218" max="9218" width="19.7109375" style="161" customWidth="1"/>
    <col min="9219" max="9219" width="20.7109375" style="161" customWidth="1"/>
    <col min="9220" max="9220" width="19.140625" style="161" customWidth="1"/>
    <col min="9221" max="9221" width="20.7109375" style="161" customWidth="1"/>
    <col min="9222" max="9222" width="18.28515625" style="161" customWidth="1"/>
    <col min="9223" max="9223" width="18.85546875" style="161" customWidth="1"/>
    <col min="9224" max="9473" width="9.140625" style="161"/>
    <col min="9474" max="9474" width="19.7109375" style="161" customWidth="1"/>
    <col min="9475" max="9475" width="20.7109375" style="161" customWidth="1"/>
    <col min="9476" max="9476" width="19.140625" style="161" customWidth="1"/>
    <col min="9477" max="9477" width="20.7109375" style="161" customWidth="1"/>
    <col min="9478" max="9478" width="18.28515625" style="161" customWidth="1"/>
    <col min="9479" max="9479" width="18.85546875" style="161" customWidth="1"/>
    <col min="9480" max="9729" width="9.140625" style="161"/>
    <col min="9730" max="9730" width="19.7109375" style="161" customWidth="1"/>
    <col min="9731" max="9731" width="20.7109375" style="161" customWidth="1"/>
    <col min="9732" max="9732" width="19.140625" style="161" customWidth="1"/>
    <col min="9733" max="9733" width="20.7109375" style="161" customWidth="1"/>
    <col min="9734" max="9734" width="18.28515625" style="161" customWidth="1"/>
    <col min="9735" max="9735" width="18.85546875" style="161" customWidth="1"/>
    <col min="9736" max="9985" width="9.140625" style="161"/>
    <col min="9986" max="9986" width="19.7109375" style="161" customWidth="1"/>
    <col min="9987" max="9987" width="20.7109375" style="161" customWidth="1"/>
    <col min="9988" max="9988" width="19.140625" style="161" customWidth="1"/>
    <col min="9989" max="9989" width="20.7109375" style="161" customWidth="1"/>
    <col min="9990" max="9990" width="18.28515625" style="161" customWidth="1"/>
    <col min="9991" max="9991" width="18.85546875" style="161" customWidth="1"/>
    <col min="9992" max="10241" width="9.140625" style="161"/>
    <col min="10242" max="10242" width="19.7109375" style="161" customWidth="1"/>
    <col min="10243" max="10243" width="20.7109375" style="161" customWidth="1"/>
    <col min="10244" max="10244" width="19.140625" style="161" customWidth="1"/>
    <col min="10245" max="10245" width="20.7109375" style="161" customWidth="1"/>
    <col min="10246" max="10246" width="18.28515625" style="161" customWidth="1"/>
    <col min="10247" max="10247" width="18.85546875" style="161" customWidth="1"/>
    <col min="10248" max="10497" width="9.140625" style="161"/>
    <col min="10498" max="10498" width="19.7109375" style="161" customWidth="1"/>
    <col min="10499" max="10499" width="20.7109375" style="161" customWidth="1"/>
    <col min="10500" max="10500" width="19.140625" style="161" customWidth="1"/>
    <col min="10501" max="10501" width="20.7109375" style="161" customWidth="1"/>
    <col min="10502" max="10502" width="18.28515625" style="161" customWidth="1"/>
    <col min="10503" max="10503" width="18.85546875" style="161" customWidth="1"/>
    <col min="10504" max="10753" width="9.140625" style="161"/>
    <col min="10754" max="10754" width="19.7109375" style="161" customWidth="1"/>
    <col min="10755" max="10755" width="20.7109375" style="161" customWidth="1"/>
    <col min="10756" max="10756" width="19.140625" style="161" customWidth="1"/>
    <col min="10757" max="10757" width="20.7109375" style="161" customWidth="1"/>
    <col min="10758" max="10758" width="18.28515625" style="161" customWidth="1"/>
    <col min="10759" max="10759" width="18.85546875" style="161" customWidth="1"/>
    <col min="10760" max="11009" width="9.140625" style="161"/>
    <col min="11010" max="11010" width="19.7109375" style="161" customWidth="1"/>
    <col min="11011" max="11011" width="20.7109375" style="161" customWidth="1"/>
    <col min="11012" max="11012" width="19.140625" style="161" customWidth="1"/>
    <col min="11013" max="11013" width="20.7109375" style="161" customWidth="1"/>
    <col min="11014" max="11014" width="18.28515625" style="161" customWidth="1"/>
    <col min="11015" max="11015" width="18.85546875" style="161" customWidth="1"/>
    <col min="11016" max="11265" width="9.140625" style="161"/>
    <col min="11266" max="11266" width="19.7109375" style="161" customWidth="1"/>
    <col min="11267" max="11267" width="20.7109375" style="161" customWidth="1"/>
    <col min="11268" max="11268" width="19.140625" style="161" customWidth="1"/>
    <col min="11269" max="11269" width="20.7109375" style="161" customWidth="1"/>
    <col min="11270" max="11270" width="18.28515625" style="161" customWidth="1"/>
    <col min="11271" max="11271" width="18.85546875" style="161" customWidth="1"/>
    <col min="11272" max="11521" width="9.140625" style="161"/>
    <col min="11522" max="11522" width="19.7109375" style="161" customWidth="1"/>
    <col min="11523" max="11523" width="20.7109375" style="161" customWidth="1"/>
    <col min="11524" max="11524" width="19.140625" style="161" customWidth="1"/>
    <col min="11525" max="11525" width="20.7109375" style="161" customWidth="1"/>
    <col min="11526" max="11526" width="18.28515625" style="161" customWidth="1"/>
    <col min="11527" max="11527" width="18.85546875" style="161" customWidth="1"/>
    <col min="11528" max="11777" width="9.140625" style="161"/>
    <col min="11778" max="11778" width="19.7109375" style="161" customWidth="1"/>
    <col min="11779" max="11779" width="20.7109375" style="161" customWidth="1"/>
    <col min="11780" max="11780" width="19.140625" style="161" customWidth="1"/>
    <col min="11781" max="11781" width="20.7109375" style="161" customWidth="1"/>
    <col min="11782" max="11782" width="18.28515625" style="161" customWidth="1"/>
    <col min="11783" max="11783" width="18.85546875" style="161" customWidth="1"/>
    <col min="11784" max="12033" width="9.140625" style="161"/>
    <col min="12034" max="12034" width="19.7109375" style="161" customWidth="1"/>
    <col min="12035" max="12035" width="20.7109375" style="161" customWidth="1"/>
    <col min="12036" max="12036" width="19.140625" style="161" customWidth="1"/>
    <col min="12037" max="12037" width="20.7109375" style="161" customWidth="1"/>
    <col min="12038" max="12038" width="18.28515625" style="161" customWidth="1"/>
    <col min="12039" max="12039" width="18.85546875" style="161" customWidth="1"/>
    <col min="12040" max="12289" width="9.140625" style="161"/>
    <col min="12290" max="12290" width="19.7109375" style="161" customWidth="1"/>
    <col min="12291" max="12291" width="20.7109375" style="161" customWidth="1"/>
    <col min="12292" max="12292" width="19.140625" style="161" customWidth="1"/>
    <col min="12293" max="12293" width="20.7109375" style="161" customWidth="1"/>
    <col min="12294" max="12294" width="18.28515625" style="161" customWidth="1"/>
    <col min="12295" max="12295" width="18.85546875" style="161" customWidth="1"/>
    <col min="12296" max="12545" width="9.140625" style="161"/>
    <col min="12546" max="12546" width="19.7109375" style="161" customWidth="1"/>
    <col min="12547" max="12547" width="20.7109375" style="161" customWidth="1"/>
    <col min="12548" max="12548" width="19.140625" style="161" customWidth="1"/>
    <col min="12549" max="12549" width="20.7109375" style="161" customWidth="1"/>
    <col min="12550" max="12550" width="18.28515625" style="161" customWidth="1"/>
    <col min="12551" max="12551" width="18.85546875" style="161" customWidth="1"/>
    <col min="12552" max="12801" width="9.140625" style="161"/>
    <col min="12802" max="12802" width="19.7109375" style="161" customWidth="1"/>
    <col min="12803" max="12803" width="20.7109375" style="161" customWidth="1"/>
    <col min="12804" max="12804" width="19.140625" style="161" customWidth="1"/>
    <col min="12805" max="12805" width="20.7109375" style="161" customWidth="1"/>
    <col min="12806" max="12806" width="18.28515625" style="161" customWidth="1"/>
    <col min="12807" max="12807" width="18.85546875" style="161" customWidth="1"/>
    <col min="12808" max="13057" width="9.140625" style="161"/>
    <col min="13058" max="13058" width="19.7109375" style="161" customWidth="1"/>
    <col min="13059" max="13059" width="20.7109375" style="161" customWidth="1"/>
    <col min="13060" max="13060" width="19.140625" style="161" customWidth="1"/>
    <col min="13061" max="13061" width="20.7109375" style="161" customWidth="1"/>
    <col min="13062" max="13062" width="18.28515625" style="161" customWidth="1"/>
    <col min="13063" max="13063" width="18.85546875" style="161" customWidth="1"/>
    <col min="13064" max="13313" width="9.140625" style="161"/>
    <col min="13314" max="13314" width="19.7109375" style="161" customWidth="1"/>
    <col min="13315" max="13315" width="20.7109375" style="161" customWidth="1"/>
    <col min="13316" max="13316" width="19.140625" style="161" customWidth="1"/>
    <col min="13317" max="13317" width="20.7109375" style="161" customWidth="1"/>
    <col min="13318" max="13318" width="18.28515625" style="161" customWidth="1"/>
    <col min="13319" max="13319" width="18.85546875" style="161" customWidth="1"/>
    <col min="13320" max="13569" width="9.140625" style="161"/>
    <col min="13570" max="13570" width="19.7109375" style="161" customWidth="1"/>
    <col min="13571" max="13571" width="20.7109375" style="161" customWidth="1"/>
    <col min="13572" max="13572" width="19.140625" style="161" customWidth="1"/>
    <col min="13573" max="13573" width="20.7109375" style="161" customWidth="1"/>
    <col min="13574" max="13574" width="18.28515625" style="161" customWidth="1"/>
    <col min="13575" max="13575" width="18.85546875" style="161" customWidth="1"/>
    <col min="13576" max="13825" width="9.140625" style="161"/>
    <col min="13826" max="13826" width="19.7109375" style="161" customWidth="1"/>
    <col min="13827" max="13827" width="20.7109375" style="161" customWidth="1"/>
    <col min="13828" max="13828" width="19.140625" style="161" customWidth="1"/>
    <col min="13829" max="13829" width="20.7109375" style="161" customWidth="1"/>
    <col min="13830" max="13830" width="18.28515625" style="161" customWidth="1"/>
    <col min="13831" max="13831" width="18.85546875" style="161" customWidth="1"/>
    <col min="13832" max="14081" width="9.140625" style="161"/>
    <col min="14082" max="14082" width="19.7109375" style="161" customWidth="1"/>
    <col min="14083" max="14083" width="20.7109375" style="161" customWidth="1"/>
    <col min="14084" max="14084" width="19.140625" style="161" customWidth="1"/>
    <col min="14085" max="14085" width="20.7109375" style="161" customWidth="1"/>
    <col min="14086" max="14086" width="18.28515625" style="161" customWidth="1"/>
    <col min="14087" max="14087" width="18.85546875" style="161" customWidth="1"/>
    <col min="14088" max="14337" width="9.140625" style="161"/>
    <col min="14338" max="14338" width="19.7109375" style="161" customWidth="1"/>
    <col min="14339" max="14339" width="20.7109375" style="161" customWidth="1"/>
    <col min="14340" max="14340" width="19.140625" style="161" customWidth="1"/>
    <col min="14341" max="14341" width="20.7109375" style="161" customWidth="1"/>
    <col min="14342" max="14342" width="18.28515625" style="161" customWidth="1"/>
    <col min="14343" max="14343" width="18.85546875" style="161" customWidth="1"/>
    <col min="14344" max="14593" width="9.140625" style="161"/>
    <col min="14594" max="14594" width="19.7109375" style="161" customWidth="1"/>
    <col min="14595" max="14595" width="20.7109375" style="161" customWidth="1"/>
    <col min="14596" max="14596" width="19.140625" style="161" customWidth="1"/>
    <col min="14597" max="14597" width="20.7109375" style="161" customWidth="1"/>
    <col min="14598" max="14598" width="18.28515625" style="161" customWidth="1"/>
    <col min="14599" max="14599" width="18.85546875" style="161" customWidth="1"/>
    <col min="14600" max="14849" width="9.140625" style="161"/>
    <col min="14850" max="14850" width="19.7109375" style="161" customWidth="1"/>
    <col min="14851" max="14851" width="20.7109375" style="161" customWidth="1"/>
    <col min="14852" max="14852" width="19.140625" style="161" customWidth="1"/>
    <col min="14853" max="14853" width="20.7109375" style="161" customWidth="1"/>
    <col min="14854" max="14854" width="18.28515625" style="161" customWidth="1"/>
    <col min="14855" max="14855" width="18.85546875" style="161" customWidth="1"/>
    <col min="14856" max="15105" width="9.140625" style="161"/>
    <col min="15106" max="15106" width="19.7109375" style="161" customWidth="1"/>
    <col min="15107" max="15107" width="20.7109375" style="161" customWidth="1"/>
    <col min="15108" max="15108" width="19.140625" style="161" customWidth="1"/>
    <col min="15109" max="15109" width="20.7109375" style="161" customWidth="1"/>
    <col min="15110" max="15110" width="18.28515625" style="161" customWidth="1"/>
    <col min="15111" max="15111" width="18.85546875" style="161" customWidth="1"/>
    <col min="15112" max="15361" width="9.140625" style="161"/>
    <col min="15362" max="15362" width="19.7109375" style="161" customWidth="1"/>
    <col min="15363" max="15363" width="20.7109375" style="161" customWidth="1"/>
    <col min="15364" max="15364" width="19.140625" style="161" customWidth="1"/>
    <col min="15365" max="15365" width="20.7109375" style="161" customWidth="1"/>
    <col min="15366" max="15366" width="18.28515625" style="161" customWidth="1"/>
    <col min="15367" max="15367" width="18.85546875" style="161" customWidth="1"/>
    <col min="15368" max="15617" width="9.140625" style="161"/>
    <col min="15618" max="15618" width="19.7109375" style="161" customWidth="1"/>
    <col min="15619" max="15619" width="20.7109375" style="161" customWidth="1"/>
    <col min="15620" max="15620" width="19.140625" style="161" customWidth="1"/>
    <col min="15621" max="15621" width="20.7109375" style="161" customWidth="1"/>
    <col min="15622" max="15622" width="18.28515625" style="161" customWidth="1"/>
    <col min="15623" max="15623" width="18.85546875" style="161" customWidth="1"/>
    <col min="15624" max="15873" width="9.140625" style="161"/>
    <col min="15874" max="15874" width="19.7109375" style="161" customWidth="1"/>
    <col min="15875" max="15875" width="20.7109375" style="161" customWidth="1"/>
    <col min="15876" max="15876" width="19.140625" style="161" customWidth="1"/>
    <col min="15877" max="15877" width="20.7109375" style="161" customWidth="1"/>
    <col min="15878" max="15878" width="18.28515625" style="161" customWidth="1"/>
    <col min="15879" max="15879" width="18.85546875" style="161" customWidth="1"/>
    <col min="15880" max="16129" width="9.140625" style="161"/>
    <col min="16130" max="16130" width="19.7109375" style="161" customWidth="1"/>
    <col min="16131" max="16131" width="20.7109375" style="161" customWidth="1"/>
    <col min="16132" max="16132" width="19.140625" style="161" customWidth="1"/>
    <col min="16133" max="16133" width="20.7109375" style="161" customWidth="1"/>
    <col min="16134" max="16134" width="18.28515625" style="161" customWidth="1"/>
    <col min="16135" max="16135" width="18.85546875" style="161" customWidth="1"/>
    <col min="16136" max="16384" width="9.140625" style="161"/>
  </cols>
  <sheetData>
    <row r="1" spans="2:10" ht="31.5" customHeight="1" x14ac:dyDescent="0.25">
      <c r="G1" s="162"/>
      <c r="I1" s="615" t="s">
        <v>204</v>
      </c>
      <c r="J1" s="615"/>
    </row>
    <row r="2" spans="2:10" ht="15.75" x14ac:dyDescent="0.25">
      <c r="G2" s="162"/>
    </row>
    <row r="4" spans="2:10" ht="18.75" x14ac:dyDescent="0.3">
      <c r="B4" s="618" t="s">
        <v>778</v>
      </c>
      <c r="C4" s="618"/>
      <c r="D4" s="618"/>
      <c r="E4" s="618"/>
      <c r="F4" s="618"/>
      <c r="G4" s="618"/>
      <c r="H4" s="163"/>
    </row>
    <row r="5" spans="2:10" ht="13.5" thickBot="1" x14ac:dyDescent="0.25">
      <c r="B5" s="164"/>
      <c r="C5" s="165"/>
      <c r="D5" s="165"/>
      <c r="E5" s="165"/>
      <c r="F5" s="165"/>
      <c r="G5" s="166" t="s">
        <v>2</v>
      </c>
    </row>
    <row r="6" spans="2:10" ht="22.5" customHeight="1" thickBot="1" x14ac:dyDescent="0.25">
      <c r="B6" s="619"/>
      <c r="C6" s="620"/>
      <c r="D6" s="623" t="s">
        <v>0</v>
      </c>
      <c r="E6" s="624"/>
      <c r="F6" s="623" t="s">
        <v>44</v>
      </c>
      <c r="G6" s="624"/>
    </row>
    <row r="7" spans="2:10" ht="22.5" customHeight="1" thickBot="1" x14ac:dyDescent="0.25">
      <c r="B7" s="621"/>
      <c r="C7" s="622"/>
      <c r="D7" s="167" t="s">
        <v>216</v>
      </c>
      <c r="E7" s="168" t="s">
        <v>217</v>
      </c>
      <c r="F7" s="167" t="s">
        <v>216</v>
      </c>
      <c r="G7" s="168" t="s">
        <v>217</v>
      </c>
    </row>
    <row r="8" spans="2:10" ht="30" customHeight="1" x14ac:dyDescent="0.2">
      <c r="B8" s="625" t="s">
        <v>218</v>
      </c>
      <c r="C8" s="169" t="s">
        <v>255</v>
      </c>
      <c r="D8" s="357">
        <v>107358</v>
      </c>
      <c r="E8" s="358">
        <f>D8*0.701+2842.3</f>
        <v>78100.258000000002</v>
      </c>
      <c r="F8" s="357">
        <v>91422</v>
      </c>
      <c r="G8" s="170">
        <f>F8*0.701+2842.3</f>
        <v>66929.121999999988</v>
      </c>
    </row>
    <row r="9" spans="2:10" ht="30" customHeight="1" x14ac:dyDescent="0.2">
      <c r="B9" s="625"/>
      <c r="C9" s="171" t="s">
        <v>256</v>
      </c>
      <c r="D9" s="359">
        <v>238456</v>
      </c>
      <c r="E9" s="360">
        <f>D9*0.701+2842.3</f>
        <v>169999.95599999998</v>
      </c>
      <c r="F9" s="359">
        <v>215828</v>
      </c>
      <c r="G9" s="170">
        <f t="shared" ref="G9:G13" si="0">F9*0.701+2842.3</f>
        <v>154137.72799999997</v>
      </c>
    </row>
    <row r="10" spans="2:10" ht="30" customHeight="1" thickBot="1" x14ac:dyDescent="0.25">
      <c r="B10" s="626"/>
      <c r="C10" s="172" t="s">
        <v>257</v>
      </c>
      <c r="D10" s="361">
        <v>145678</v>
      </c>
      <c r="E10" s="352">
        <f>D10*0.701+2842.3</f>
        <v>104962.57799999999</v>
      </c>
      <c r="F10" s="361">
        <v>134072</v>
      </c>
      <c r="G10" s="170">
        <f t="shared" si="0"/>
        <v>96826.771999999997</v>
      </c>
    </row>
    <row r="11" spans="2:10" ht="30" customHeight="1" x14ac:dyDescent="0.2">
      <c r="B11" s="616" t="s">
        <v>219</v>
      </c>
      <c r="C11" s="173" t="s">
        <v>255</v>
      </c>
      <c r="D11" s="356"/>
      <c r="E11" s="352"/>
      <c r="F11" s="466"/>
      <c r="G11" s="170"/>
    </row>
    <row r="12" spans="2:10" ht="30" customHeight="1" x14ac:dyDescent="0.2">
      <c r="B12" s="616"/>
      <c r="C12" s="174" t="s">
        <v>256</v>
      </c>
      <c r="D12" s="352">
        <v>288144</v>
      </c>
      <c r="E12" s="352">
        <f>D12*0.701+2842.3</f>
        <v>204831.24399999998</v>
      </c>
      <c r="F12" s="466">
        <v>263835</v>
      </c>
      <c r="G12" s="170">
        <f t="shared" si="0"/>
        <v>187790.63499999998</v>
      </c>
    </row>
    <row r="13" spans="2:10" ht="30" customHeight="1" thickBot="1" x14ac:dyDescent="0.25">
      <c r="B13" s="617"/>
      <c r="C13" s="175" t="s">
        <v>257</v>
      </c>
      <c r="D13" s="352">
        <v>288144</v>
      </c>
      <c r="E13" s="352">
        <f t="shared" ref="E13" si="1">D13*0.701+2842.3</f>
        <v>204831.24399999998</v>
      </c>
      <c r="F13" s="466">
        <v>263501</v>
      </c>
      <c r="G13" s="170">
        <f t="shared" si="0"/>
        <v>187556.50099999999</v>
      </c>
    </row>
    <row r="14" spans="2:10" ht="13.5" customHeight="1" x14ac:dyDescent="0.2"/>
    <row r="15" spans="2:10" x14ac:dyDescent="0.2">
      <c r="B15" s="42" t="s">
        <v>573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37"/>
  <sheetViews>
    <sheetView showGridLines="0" topLeftCell="B1" zoomScale="85" zoomScaleNormal="85" workbookViewId="0">
      <selection activeCell="G19" sqref="G19"/>
    </sheetView>
  </sheetViews>
  <sheetFormatPr defaultRowHeight="15.75" x14ac:dyDescent="0.25"/>
  <cols>
    <col min="1" max="1" width="2.7109375" style="39" customWidth="1"/>
    <col min="2" max="2" width="39" style="39" customWidth="1"/>
    <col min="3" max="3" width="20.85546875" style="39" customWidth="1"/>
    <col min="4" max="9" width="30.140625" style="39" customWidth="1"/>
    <col min="10" max="251" width="9.140625" style="39"/>
    <col min="252" max="252" width="6.7109375" style="39" customWidth="1"/>
    <col min="253" max="258" width="30.140625" style="39" customWidth="1"/>
    <col min="259" max="259" width="18.85546875" style="39" customWidth="1"/>
    <col min="260" max="260" width="15.5703125" style="39" customWidth="1"/>
    <col min="261" max="507" width="9.140625" style="39"/>
    <col min="508" max="508" width="6.7109375" style="39" customWidth="1"/>
    <col min="509" max="514" width="30.140625" style="39" customWidth="1"/>
    <col min="515" max="515" width="18.85546875" style="39" customWidth="1"/>
    <col min="516" max="516" width="15.5703125" style="39" customWidth="1"/>
    <col min="517" max="763" width="9.140625" style="39"/>
    <col min="764" max="764" width="6.7109375" style="39" customWidth="1"/>
    <col min="765" max="770" width="30.140625" style="39" customWidth="1"/>
    <col min="771" max="771" width="18.85546875" style="39" customWidth="1"/>
    <col min="772" max="772" width="15.5703125" style="39" customWidth="1"/>
    <col min="773" max="1019" width="9.140625" style="39"/>
    <col min="1020" max="1020" width="6.7109375" style="39" customWidth="1"/>
    <col min="1021" max="1026" width="30.140625" style="39" customWidth="1"/>
    <col min="1027" max="1027" width="18.85546875" style="39" customWidth="1"/>
    <col min="1028" max="1028" width="15.5703125" style="39" customWidth="1"/>
    <col min="1029" max="1275" width="9.140625" style="39"/>
    <col min="1276" max="1276" width="6.7109375" style="39" customWidth="1"/>
    <col min="1277" max="1282" width="30.140625" style="39" customWidth="1"/>
    <col min="1283" max="1283" width="18.85546875" style="39" customWidth="1"/>
    <col min="1284" max="1284" width="15.5703125" style="39" customWidth="1"/>
    <col min="1285" max="1531" width="9.140625" style="39"/>
    <col min="1532" max="1532" width="6.7109375" style="39" customWidth="1"/>
    <col min="1533" max="1538" width="30.140625" style="39" customWidth="1"/>
    <col min="1539" max="1539" width="18.85546875" style="39" customWidth="1"/>
    <col min="1540" max="1540" width="15.5703125" style="39" customWidth="1"/>
    <col min="1541" max="1787" width="9.140625" style="39"/>
    <col min="1788" max="1788" width="6.7109375" style="39" customWidth="1"/>
    <col min="1789" max="1794" width="30.140625" style="39" customWidth="1"/>
    <col min="1795" max="1795" width="18.85546875" style="39" customWidth="1"/>
    <col min="1796" max="1796" width="15.5703125" style="39" customWidth="1"/>
    <col min="1797" max="2043" width="9.140625" style="39"/>
    <col min="2044" max="2044" width="6.7109375" style="39" customWidth="1"/>
    <col min="2045" max="2050" width="30.140625" style="39" customWidth="1"/>
    <col min="2051" max="2051" width="18.85546875" style="39" customWidth="1"/>
    <col min="2052" max="2052" width="15.5703125" style="39" customWidth="1"/>
    <col min="2053" max="2299" width="9.140625" style="39"/>
    <col min="2300" max="2300" width="6.7109375" style="39" customWidth="1"/>
    <col min="2301" max="2306" width="30.140625" style="39" customWidth="1"/>
    <col min="2307" max="2307" width="18.85546875" style="39" customWidth="1"/>
    <col min="2308" max="2308" width="15.5703125" style="39" customWidth="1"/>
    <col min="2309" max="2555" width="9.140625" style="39"/>
    <col min="2556" max="2556" width="6.7109375" style="39" customWidth="1"/>
    <col min="2557" max="2562" width="30.140625" style="39" customWidth="1"/>
    <col min="2563" max="2563" width="18.85546875" style="39" customWidth="1"/>
    <col min="2564" max="2564" width="15.5703125" style="39" customWidth="1"/>
    <col min="2565" max="2811" width="9.140625" style="39"/>
    <col min="2812" max="2812" width="6.7109375" style="39" customWidth="1"/>
    <col min="2813" max="2818" width="30.140625" style="39" customWidth="1"/>
    <col min="2819" max="2819" width="18.85546875" style="39" customWidth="1"/>
    <col min="2820" max="2820" width="15.5703125" style="39" customWidth="1"/>
    <col min="2821" max="3067" width="9.140625" style="39"/>
    <col min="3068" max="3068" width="6.7109375" style="39" customWidth="1"/>
    <col min="3069" max="3074" width="30.140625" style="39" customWidth="1"/>
    <col min="3075" max="3075" width="18.85546875" style="39" customWidth="1"/>
    <col min="3076" max="3076" width="15.5703125" style="39" customWidth="1"/>
    <col min="3077" max="3323" width="9.140625" style="39"/>
    <col min="3324" max="3324" width="6.7109375" style="39" customWidth="1"/>
    <col min="3325" max="3330" width="30.140625" style="39" customWidth="1"/>
    <col min="3331" max="3331" width="18.85546875" style="39" customWidth="1"/>
    <col min="3332" max="3332" width="15.5703125" style="39" customWidth="1"/>
    <col min="3333" max="3579" width="9.140625" style="39"/>
    <col min="3580" max="3580" width="6.7109375" style="39" customWidth="1"/>
    <col min="3581" max="3586" width="30.140625" style="39" customWidth="1"/>
    <col min="3587" max="3587" width="18.85546875" style="39" customWidth="1"/>
    <col min="3588" max="3588" width="15.5703125" style="39" customWidth="1"/>
    <col min="3589" max="3835" width="9.140625" style="39"/>
    <col min="3836" max="3836" width="6.7109375" style="39" customWidth="1"/>
    <col min="3837" max="3842" width="30.140625" style="39" customWidth="1"/>
    <col min="3843" max="3843" width="18.85546875" style="39" customWidth="1"/>
    <col min="3844" max="3844" width="15.5703125" style="39" customWidth="1"/>
    <col min="3845" max="4091" width="9.140625" style="39"/>
    <col min="4092" max="4092" width="6.7109375" style="39" customWidth="1"/>
    <col min="4093" max="4098" width="30.140625" style="39" customWidth="1"/>
    <col min="4099" max="4099" width="18.85546875" style="39" customWidth="1"/>
    <col min="4100" max="4100" width="15.5703125" style="39" customWidth="1"/>
    <col min="4101" max="4347" width="9.140625" style="39"/>
    <col min="4348" max="4348" width="6.7109375" style="39" customWidth="1"/>
    <col min="4349" max="4354" width="30.140625" style="39" customWidth="1"/>
    <col min="4355" max="4355" width="18.85546875" style="39" customWidth="1"/>
    <col min="4356" max="4356" width="15.5703125" style="39" customWidth="1"/>
    <col min="4357" max="4603" width="9.140625" style="39"/>
    <col min="4604" max="4604" width="6.7109375" style="39" customWidth="1"/>
    <col min="4605" max="4610" width="30.140625" style="39" customWidth="1"/>
    <col min="4611" max="4611" width="18.85546875" style="39" customWidth="1"/>
    <col min="4612" max="4612" width="15.5703125" style="39" customWidth="1"/>
    <col min="4613" max="4859" width="9.140625" style="39"/>
    <col min="4860" max="4860" width="6.7109375" style="39" customWidth="1"/>
    <col min="4861" max="4866" width="30.140625" style="39" customWidth="1"/>
    <col min="4867" max="4867" width="18.85546875" style="39" customWidth="1"/>
    <col min="4868" max="4868" width="15.5703125" style="39" customWidth="1"/>
    <col min="4869" max="5115" width="9.140625" style="39"/>
    <col min="5116" max="5116" width="6.7109375" style="39" customWidth="1"/>
    <col min="5117" max="5122" width="30.140625" style="39" customWidth="1"/>
    <col min="5123" max="5123" width="18.85546875" style="39" customWidth="1"/>
    <col min="5124" max="5124" width="15.5703125" style="39" customWidth="1"/>
    <col min="5125" max="5371" width="9.140625" style="39"/>
    <col min="5372" max="5372" width="6.7109375" style="39" customWidth="1"/>
    <col min="5373" max="5378" width="30.140625" style="39" customWidth="1"/>
    <col min="5379" max="5379" width="18.85546875" style="39" customWidth="1"/>
    <col min="5380" max="5380" width="15.5703125" style="39" customWidth="1"/>
    <col min="5381" max="5627" width="9.140625" style="39"/>
    <col min="5628" max="5628" width="6.7109375" style="39" customWidth="1"/>
    <col min="5629" max="5634" width="30.140625" style="39" customWidth="1"/>
    <col min="5635" max="5635" width="18.85546875" style="39" customWidth="1"/>
    <col min="5636" max="5636" width="15.5703125" style="39" customWidth="1"/>
    <col min="5637" max="5883" width="9.140625" style="39"/>
    <col min="5884" max="5884" width="6.7109375" style="39" customWidth="1"/>
    <col min="5885" max="5890" width="30.140625" style="39" customWidth="1"/>
    <col min="5891" max="5891" width="18.85546875" style="39" customWidth="1"/>
    <col min="5892" max="5892" width="15.5703125" style="39" customWidth="1"/>
    <col min="5893" max="6139" width="9.140625" style="39"/>
    <col min="6140" max="6140" width="6.7109375" style="39" customWidth="1"/>
    <col min="6141" max="6146" width="30.140625" style="39" customWidth="1"/>
    <col min="6147" max="6147" width="18.85546875" style="39" customWidth="1"/>
    <col min="6148" max="6148" width="15.5703125" style="39" customWidth="1"/>
    <col min="6149" max="6395" width="9.140625" style="39"/>
    <col min="6396" max="6396" width="6.7109375" style="39" customWidth="1"/>
    <col min="6397" max="6402" width="30.140625" style="39" customWidth="1"/>
    <col min="6403" max="6403" width="18.85546875" style="39" customWidth="1"/>
    <col min="6404" max="6404" width="15.5703125" style="39" customWidth="1"/>
    <col min="6405" max="6651" width="9.140625" style="39"/>
    <col min="6652" max="6652" width="6.7109375" style="39" customWidth="1"/>
    <col min="6653" max="6658" width="30.140625" style="39" customWidth="1"/>
    <col min="6659" max="6659" width="18.85546875" style="39" customWidth="1"/>
    <col min="6660" max="6660" width="15.5703125" style="39" customWidth="1"/>
    <col min="6661" max="6907" width="9.140625" style="39"/>
    <col min="6908" max="6908" width="6.7109375" style="39" customWidth="1"/>
    <col min="6909" max="6914" width="30.140625" style="39" customWidth="1"/>
    <col min="6915" max="6915" width="18.85546875" style="39" customWidth="1"/>
    <col min="6916" max="6916" width="15.5703125" style="39" customWidth="1"/>
    <col min="6917" max="7163" width="9.140625" style="39"/>
    <col min="7164" max="7164" width="6.7109375" style="39" customWidth="1"/>
    <col min="7165" max="7170" width="30.140625" style="39" customWidth="1"/>
    <col min="7171" max="7171" width="18.85546875" style="39" customWidth="1"/>
    <col min="7172" max="7172" width="15.5703125" style="39" customWidth="1"/>
    <col min="7173" max="7419" width="9.140625" style="39"/>
    <col min="7420" max="7420" width="6.7109375" style="39" customWidth="1"/>
    <col min="7421" max="7426" width="30.140625" style="39" customWidth="1"/>
    <col min="7427" max="7427" width="18.85546875" style="39" customWidth="1"/>
    <col min="7428" max="7428" width="15.5703125" style="39" customWidth="1"/>
    <col min="7429" max="7675" width="9.140625" style="39"/>
    <col min="7676" max="7676" width="6.7109375" style="39" customWidth="1"/>
    <col min="7677" max="7682" width="30.140625" style="39" customWidth="1"/>
    <col min="7683" max="7683" width="18.85546875" style="39" customWidth="1"/>
    <col min="7684" max="7684" width="15.5703125" style="39" customWidth="1"/>
    <col min="7685" max="7931" width="9.140625" style="39"/>
    <col min="7932" max="7932" width="6.7109375" style="39" customWidth="1"/>
    <col min="7933" max="7938" width="30.140625" style="39" customWidth="1"/>
    <col min="7939" max="7939" width="18.85546875" style="39" customWidth="1"/>
    <col min="7940" max="7940" width="15.5703125" style="39" customWidth="1"/>
    <col min="7941" max="8187" width="9.140625" style="39"/>
    <col min="8188" max="8188" width="6.7109375" style="39" customWidth="1"/>
    <col min="8189" max="8194" width="30.140625" style="39" customWidth="1"/>
    <col min="8195" max="8195" width="18.85546875" style="39" customWidth="1"/>
    <col min="8196" max="8196" width="15.5703125" style="39" customWidth="1"/>
    <col min="8197" max="8443" width="9.140625" style="39"/>
    <col min="8444" max="8444" width="6.7109375" style="39" customWidth="1"/>
    <col min="8445" max="8450" width="30.140625" style="39" customWidth="1"/>
    <col min="8451" max="8451" width="18.85546875" style="39" customWidth="1"/>
    <col min="8452" max="8452" width="15.5703125" style="39" customWidth="1"/>
    <col min="8453" max="8699" width="9.140625" style="39"/>
    <col min="8700" max="8700" width="6.7109375" style="39" customWidth="1"/>
    <col min="8701" max="8706" width="30.140625" style="39" customWidth="1"/>
    <col min="8707" max="8707" width="18.85546875" style="39" customWidth="1"/>
    <col min="8708" max="8708" width="15.5703125" style="39" customWidth="1"/>
    <col min="8709" max="8955" width="9.140625" style="39"/>
    <col min="8956" max="8956" width="6.7109375" style="39" customWidth="1"/>
    <col min="8957" max="8962" width="30.140625" style="39" customWidth="1"/>
    <col min="8963" max="8963" width="18.85546875" style="39" customWidth="1"/>
    <col min="8964" max="8964" width="15.5703125" style="39" customWidth="1"/>
    <col min="8965" max="9211" width="9.140625" style="39"/>
    <col min="9212" max="9212" width="6.7109375" style="39" customWidth="1"/>
    <col min="9213" max="9218" width="30.140625" style="39" customWidth="1"/>
    <col min="9219" max="9219" width="18.85546875" style="39" customWidth="1"/>
    <col min="9220" max="9220" width="15.5703125" style="39" customWidth="1"/>
    <col min="9221" max="9467" width="9.140625" style="39"/>
    <col min="9468" max="9468" width="6.7109375" style="39" customWidth="1"/>
    <col min="9469" max="9474" width="30.140625" style="39" customWidth="1"/>
    <col min="9475" max="9475" width="18.85546875" style="39" customWidth="1"/>
    <col min="9476" max="9476" width="15.5703125" style="39" customWidth="1"/>
    <col min="9477" max="9723" width="9.140625" style="39"/>
    <col min="9724" max="9724" width="6.7109375" style="39" customWidth="1"/>
    <col min="9725" max="9730" width="30.140625" style="39" customWidth="1"/>
    <col min="9731" max="9731" width="18.85546875" style="39" customWidth="1"/>
    <col min="9732" max="9732" width="15.5703125" style="39" customWidth="1"/>
    <col min="9733" max="9979" width="9.140625" style="39"/>
    <col min="9980" max="9980" width="6.7109375" style="39" customWidth="1"/>
    <col min="9981" max="9986" width="30.140625" style="39" customWidth="1"/>
    <col min="9987" max="9987" width="18.85546875" style="39" customWidth="1"/>
    <col min="9988" max="9988" width="15.5703125" style="39" customWidth="1"/>
    <col min="9989" max="10235" width="9.140625" style="39"/>
    <col min="10236" max="10236" width="6.7109375" style="39" customWidth="1"/>
    <col min="10237" max="10242" width="30.140625" style="39" customWidth="1"/>
    <col min="10243" max="10243" width="18.85546875" style="39" customWidth="1"/>
    <col min="10244" max="10244" width="15.5703125" style="39" customWidth="1"/>
    <col min="10245" max="10491" width="9.140625" style="39"/>
    <col min="10492" max="10492" width="6.7109375" style="39" customWidth="1"/>
    <col min="10493" max="10498" width="30.140625" style="39" customWidth="1"/>
    <col min="10499" max="10499" width="18.85546875" style="39" customWidth="1"/>
    <col min="10500" max="10500" width="15.5703125" style="39" customWidth="1"/>
    <col min="10501" max="10747" width="9.140625" style="39"/>
    <col min="10748" max="10748" width="6.7109375" style="39" customWidth="1"/>
    <col min="10749" max="10754" width="30.140625" style="39" customWidth="1"/>
    <col min="10755" max="10755" width="18.85546875" style="39" customWidth="1"/>
    <col min="10756" max="10756" width="15.5703125" style="39" customWidth="1"/>
    <col min="10757" max="11003" width="9.140625" style="39"/>
    <col min="11004" max="11004" width="6.7109375" style="39" customWidth="1"/>
    <col min="11005" max="11010" width="30.140625" style="39" customWidth="1"/>
    <col min="11011" max="11011" width="18.85546875" style="39" customWidth="1"/>
    <col min="11012" max="11012" width="15.5703125" style="39" customWidth="1"/>
    <col min="11013" max="11259" width="9.140625" style="39"/>
    <col min="11260" max="11260" width="6.7109375" style="39" customWidth="1"/>
    <col min="11261" max="11266" width="30.140625" style="39" customWidth="1"/>
    <col min="11267" max="11267" width="18.85546875" style="39" customWidth="1"/>
    <col min="11268" max="11268" width="15.5703125" style="39" customWidth="1"/>
    <col min="11269" max="11515" width="9.140625" style="39"/>
    <col min="11516" max="11516" width="6.7109375" style="39" customWidth="1"/>
    <col min="11517" max="11522" width="30.140625" style="39" customWidth="1"/>
    <col min="11523" max="11523" width="18.85546875" style="39" customWidth="1"/>
    <col min="11524" max="11524" width="15.5703125" style="39" customWidth="1"/>
    <col min="11525" max="11771" width="9.140625" style="39"/>
    <col min="11772" max="11772" width="6.7109375" style="39" customWidth="1"/>
    <col min="11773" max="11778" width="30.140625" style="39" customWidth="1"/>
    <col min="11779" max="11779" width="18.85546875" style="39" customWidth="1"/>
    <col min="11780" max="11780" width="15.5703125" style="39" customWidth="1"/>
    <col min="11781" max="12027" width="9.140625" style="39"/>
    <col min="12028" max="12028" width="6.7109375" style="39" customWidth="1"/>
    <col min="12029" max="12034" width="30.140625" style="39" customWidth="1"/>
    <col min="12035" max="12035" width="18.85546875" style="39" customWidth="1"/>
    <col min="12036" max="12036" width="15.5703125" style="39" customWidth="1"/>
    <col min="12037" max="12283" width="9.140625" style="39"/>
    <col min="12284" max="12284" width="6.7109375" style="39" customWidth="1"/>
    <col min="12285" max="12290" width="30.140625" style="39" customWidth="1"/>
    <col min="12291" max="12291" width="18.85546875" style="39" customWidth="1"/>
    <col min="12292" max="12292" width="15.5703125" style="39" customWidth="1"/>
    <col min="12293" max="12539" width="9.140625" style="39"/>
    <col min="12540" max="12540" width="6.7109375" style="39" customWidth="1"/>
    <col min="12541" max="12546" width="30.140625" style="39" customWidth="1"/>
    <col min="12547" max="12547" width="18.85546875" style="39" customWidth="1"/>
    <col min="12548" max="12548" width="15.5703125" style="39" customWidth="1"/>
    <col min="12549" max="12795" width="9.140625" style="39"/>
    <col min="12796" max="12796" width="6.7109375" style="39" customWidth="1"/>
    <col min="12797" max="12802" width="30.140625" style="39" customWidth="1"/>
    <col min="12803" max="12803" width="18.85546875" style="39" customWidth="1"/>
    <col min="12804" max="12804" width="15.5703125" style="39" customWidth="1"/>
    <col min="12805" max="13051" width="9.140625" style="39"/>
    <col min="13052" max="13052" width="6.7109375" style="39" customWidth="1"/>
    <col min="13053" max="13058" width="30.140625" style="39" customWidth="1"/>
    <col min="13059" max="13059" width="18.85546875" style="39" customWidth="1"/>
    <col min="13060" max="13060" width="15.5703125" style="39" customWidth="1"/>
    <col min="13061" max="13307" width="9.140625" style="39"/>
    <col min="13308" max="13308" width="6.7109375" style="39" customWidth="1"/>
    <col min="13309" max="13314" width="30.140625" style="39" customWidth="1"/>
    <col min="13315" max="13315" width="18.85546875" style="39" customWidth="1"/>
    <col min="13316" max="13316" width="15.5703125" style="39" customWidth="1"/>
    <col min="13317" max="13563" width="9.140625" style="39"/>
    <col min="13564" max="13564" width="6.7109375" style="39" customWidth="1"/>
    <col min="13565" max="13570" width="30.140625" style="39" customWidth="1"/>
    <col min="13571" max="13571" width="18.85546875" style="39" customWidth="1"/>
    <col min="13572" max="13572" width="15.5703125" style="39" customWidth="1"/>
    <col min="13573" max="13819" width="9.140625" style="39"/>
    <col min="13820" max="13820" width="6.7109375" style="39" customWidth="1"/>
    <col min="13821" max="13826" width="30.140625" style="39" customWidth="1"/>
    <col min="13827" max="13827" width="18.85546875" style="39" customWidth="1"/>
    <col min="13828" max="13828" width="15.5703125" style="39" customWidth="1"/>
    <col min="13829" max="14075" width="9.140625" style="39"/>
    <col min="14076" max="14076" width="6.7109375" style="39" customWidth="1"/>
    <col min="14077" max="14082" width="30.140625" style="39" customWidth="1"/>
    <col min="14083" max="14083" width="18.85546875" style="39" customWidth="1"/>
    <col min="14084" max="14084" width="15.5703125" style="39" customWidth="1"/>
    <col min="14085" max="14331" width="9.140625" style="39"/>
    <col min="14332" max="14332" width="6.7109375" style="39" customWidth="1"/>
    <col min="14333" max="14338" width="30.140625" style="39" customWidth="1"/>
    <col min="14339" max="14339" width="18.85546875" style="39" customWidth="1"/>
    <col min="14340" max="14340" width="15.5703125" style="39" customWidth="1"/>
    <col min="14341" max="14587" width="9.140625" style="39"/>
    <col min="14588" max="14588" width="6.7109375" style="39" customWidth="1"/>
    <col min="14589" max="14594" width="30.140625" style="39" customWidth="1"/>
    <col min="14595" max="14595" width="18.85546875" style="39" customWidth="1"/>
    <col min="14596" max="14596" width="15.5703125" style="39" customWidth="1"/>
    <col min="14597" max="14843" width="9.140625" style="39"/>
    <col min="14844" max="14844" width="6.7109375" style="39" customWidth="1"/>
    <col min="14845" max="14850" width="30.140625" style="39" customWidth="1"/>
    <col min="14851" max="14851" width="18.85546875" style="39" customWidth="1"/>
    <col min="14852" max="14852" width="15.5703125" style="39" customWidth="1"/>
    <col min="14853" max="15099" width="9.140625" style="39"/>
    <col min="15100" max="15100" width="6.7109375" style="39" customWidth="1"/>
    <col min="15101" max="15106" width="30.140625" style="39" customWidth="1"/>
    <col min="15107" max="15107" width="18.85546875" style="39" customWidth="1"/>
    <col min="15108" max="15108" width="15.5703125" style="39" customWidth="1"/>
    <col min="15109" max="15355" width="9.140625" style="39"/>
    <col min="15356" max="15356" width="6.7109375" style="39" customWidth="1"/>
    <col min="15357" max="15362" width="30.140625" style="39" customWidth="1"/>
    <col min="15363" max="15363" width="18.85546875" style="39" customWidth="1"/>
    <col min="15364" max="15364" width="15.5703125" style="39" customWidth="1"/>
    <col min="15365" max="15611" width="9.140625" style="39"/>
    <col min="15612" max="15612" width="6.7109375" style="39" customWidth="1"/>
    <col min="15613" max="15618" width="30.140625" style="39" customWidth="1"/>
    <col min="15619" max="15619" width="18.85546875" style="39" customWidth="1"/>
    <col min="15620" max="15620" width="15.5703125" style="39" customWidth="1"/>
    <col min="15621" max="15867" width="9.140625" style="39"/>
    <col min="15868" max="15868" width="6.7109375" style="39" customWidth="1"/>
    <col min="15869" max="15874" width="30.140625" style="39" customWidth="1"/>
    <col min="15875" max="15875" width="18.85546875" style="39" customWidth="1"/>
    <col min="15876" max="15876" width="15.5703125" style="39" customWidth="1"/>
    <col min="15877" max="16123" width="9.140625" style="39"/>
    <col min="16124" max="16124" width="6.7109375" style="39" customWidth="1"/>
    <col min="16125" max="16130" width="30.140625" style="39" customWidth="1"/>
    <col min="16131" max="16131" width="18.85546875" style="39" customWidth="1"/>
    <col min="16132" max="16132" width="15.5703125" style="39" customWidth="1"/>
    <col min="16133" max="16384" width="9.140625" style="39"/>
  </cols>
  <sheetData>
    <row r="1" spans="2:9" x14ac:dyDescent="0.25">
      <c r="B1" s="176"/>
      <c r="C1" s="176"/>
      <c r="D1" s="176"/>
      <c r="E1" s="176"/>
      <c r="F1" s="176"/>
      <c r="G1" s="176"/>
      <c r="H1" s="176"/>
      <c r="I1" s="177" t="s">
        <v>203</v>
      </c>
    </row>
    <row r="2" spans="2:9" x14ac:dyDescent="0.25">
      <c r="B2" s="176"/>
      <c r="C2" s="176"/>
      <c r="D2" s="176"/>
      <c r="E2" s="176"/>
      <c r="F2" s="176"/>
      <c r="G2" s="176"/>
      <c r="H2" s="176"/>
      <c r="I2" s="177"/>
    </row>
    <row r="3" spans="2:9" ht="20.25" customHeight="1" x14ac:dyDescent="0.3">
      <c r="B3" s="627" t="s">
        <v>680</v>
      </c>
      <c r="C3" s="627"/>
      <c r="D3" s="627"/>
      <c r="E3" s="627"/>
      <c r="F3" s="627"/>
      <c r="G3" s="627"/>
      <c r="H3" s="627"/>
      <c r="I3" s="627"/>
    </row>
    <row r="4" spans="2:9" ht="16.5" thickBot="1" x14ac:dyDescent="0.3">
      <c r="B4" s="178"/>
      <c r="C4" s="178"/>
      <c r="D4" s="178"/>
      <c r="E4" s="178"/>
      <c r="F4" s="178"/>
      <c r="G4" s="178"/>
      <c r="I4" s="179" t="s">
        <v>2</v>
      </c>
    </row>
    <row r="5" spans="2:9" s="180" customFormat="1" ht="44.25" customHeight="1" thickBot="1" x14ac:dyDescent="0.35">
      <c r="B5" s="631" t="s">
        <v>759</v>
      </c>
      <c r="C5" s="632"/>
      <c r="D5" s="632"/>
      <c r="E5" s="632"/>
      <c r="F5" s="632"/>
      <c r="G5" s="632"/>
      <c r="H5" s="633"/>
      <c r="I5" s="629" t="s">
        <v>224</v>
      </c>
    </row>
    <row r="6" spans="2:9" s="180" customFormat="1" ht="47.25" customHeight="1" thickBot="1" x14ac:dyDescent="0.35">
      <c r="B6" s="181" t="s">
        <v>679</v>
      </c>
      <c r="C6" s="182" t="s">
        <v>221</v>
      </c>
      <c r="D6" s="182" t="s">
        <v>260</v>
      </c>
      <c r="E6" s="182" t="s">
        <v>211</v>
      </c>
      <c r="F6" s="183" t="s">
        <v>212</v>
      </c>
      <c r="G6" s="182" t="s">
        <v>213</v>
      </c>
      <c r="H6" s="182" t="s">
        <v>214</v>
      </c>
      <c r="I6" s="630"/>
    </row>
    <row r="7" spans="2:9" s="180" customFormat="1" ht="20.100000000000001" customHeight="1" x14ac:dyDescent="0.3">
      <c r="B7" s="184" t="s">
        <v>192</v>
      </c>
      <c r="C7" s="184"/>
      <c r="D7" s="184"/>
      <c r="E7" s="185"/>
      <c r="F7" s="185"/>
      <c r="G7" s="185"/>
      <c r="H7" s="185"/>
      <c r="I7" s="186"/>
    </row>
    <row r="8" spans="2:9" s="180" customFormat="1" ht="20.100000000000001" customHeight="1" x14ac:dyDescent="0.3">
      <c r="B8" s="184" t="s">
        <v>192</v>
      </c>
      <c r="C8" s="184"/>
      <c r="D8" s="184"/>
      <c r="E8" s="185"/>
      <c r="F8" s="185"/>
      <c r="G8" s="185"/>
      <c r="H8" s="185"/>
      <c r="I8" s="186"/>
    </row>
    <row r="9" spans="2:9" s="180" customFormat="1" ht="20.100000000000001" customHeight="1" x14ac:dyDescent="0.3">
      <c r="B9" s="184" t="s">
        <v>192</v>
      </c>
      <c r="C9" s="184"/>
      <c r="D9" s="184"/>
      <c r="E9" s="185"/>
      <c r="F9" s="185"/>
      <c r="G9" s="185"/>
      <c r="H9" s="185"/>
      <c r="I9" s="186"/>
    </row>
    <row r="10" spans="2:9" s="180" customFormat="1" ht="20.100000000000001" customHeight="1" x14ac:dyDescent="0.3">
      <c r="B10" s="187" t="s">
        <v>192</v>
      </c>
      <c r="C10" s="188"/>
      <c r="D10" s="188"/>
      <c r="E10" s="185"/>
      <c r="F10" s="185"/>
      <c r="G10" s="185"/>
      <c r="H10" s="185"/>
      <c r="I10" s="186"/>
    </row>
    <row r="11" spans="2:9" s="180" customFormat="1" ht="20.100000000000001" customHeight="1" x14ac:dyDescent="0.3">
      <c r="B11" s="187" t="s">
        <v>192</v>
      </c>
      <c r="C11" s="188"/>
      <c r="D11" s="188"/>
      <c r="E11" s="185"/>
      <c r="F11" s="185"/>
      <c r="G11" s="185"/>
      <c r="H11" s="185"/>
      <c r="I11" s="186"/>
    </row>
    <row r="12" spans="2:9" s="180" customFormat="1" ht="20.100000000000001" customHeight="1" thickBot="1" x14ac:dyDescent="0.35">
      <c r="B12" s="189" t="s">
        <v>192</v>
      </c>
      <c r="C12" s="189"/>
      <c r="D12" s="189"/>
      <c r="E12" s="190"/>
      <c r="F12" s="190"/>
      <c r="G12" s="190"/>
      <c r="H12" s="190"/>
      <c r="I12" s="191"/>
    </row>
    <row r="13" spans="2:9" s="180" customFormat="1" ht="30" customHeight="1" thickBot="1" x14ac:dyDescent="0.35">
      <c r="B13" s="640" t="s">
        <v>259</v>
      </c>
      <c r="C13" s="641"/>
      <c r="D13" s="642"/>
      <c r="E13" s="192"/>
      <c r="F13" s="192"/>
      <c r="G13" s="192"/>
      <c r="H13" s="192"/>
      <c r="I13" s="192"/>
    </row>
    <row r="14" spans="2:9" x14ac:dyDescent="0.25">
      <c r="I14" s="193"/>
    </row>
    <row r="15" spans="2:9" x14ac:dyDescent="0.25">
      <c r="B15" s="634" t="s">
        <v>681</v>
      </c>
      <c r="C15" s="634"/>
      <c r="D15" s="634"/>
      <c r="E15" s="634"/>
      <c r="F15" s="634"/>
      <c r="G15" s="634"/>
      <c r="H15" s="634"/>
      <c r="I15" s="194"/>
    </row>
    <row r="16" spans="2:9" x14ac:dyDescent="0.25">
      <c r="B16" s="69"/>
      <c r="C16" s="69"/>
      <c r="D16" s="69"/>
    </row>
    <row r="19" spans="2:9" x14ac:dyDescent="0.25">
      <c r="I19" s="195"/>
    </row>
    <row r="20" spans="2:9" ht="16.5" thickBot="1" x14ac:dyDescent="0.3">
      <c r="B20" s="196"/>
      <c r="C20" s="196"/>
      <c r="D20" s="196"/>
      <c r="E20" s="196"/>
      <c r="F20" s="196"/>
      <c r="G20" s="196"/>
      <c r="H20" s="196"/>
      <c r="I20" s="179" t="s">
        <v>2</v>
      </c>
    </row>
    <row r="21" spans="2:9" s="180" customFormat="1" ht="36" customHeight="1" thickBot="1" x14ac:dyDescent="0.35">
      <c r="B21" s="635" t="s">
        <v>760</v>
      </c>
      <c r="C21" s="636"/>
      <c r="D21" s="636"/>
      <c r="E21" s="636"/>
      <c r="F21" s="636"/>
      <c r="G21" s="636"/>
      <c r="H21" s="636"/>
      <c r="I21" s="637"/>
    </row>
    <row r="22" spans="2:9" s="180" customFormat="1" ht="49.5" customHeight="1" x14ac:dyDescent="0.3">
      <c r="B22" s="638" t="s">
        <v>220</v>
      </c>
      <c r="C22" s="629" t="s">
        <v>221</v>
      </c>
      <c r="D22" s="629" t="s">
        <v>258</v>
      </c>
      <c r="E22" s="197" t="s">
        <v>43</v>
      </c>
      <c r="F22" s="197" t="s">
        <v>194</v>
      </c>
      <c r="G22" s="197" t="s">
        <v>222</v>
      </c>
      <c r="H22" s="197" t="s">
        <v>195</v>
      </c>
      <c r="I22" s="198" t="s">
        <v>224</v>
      </c>
    </row>
    <row r="23" spans="2:9" s="180" customFormat="1" ht="19.5" thickBot="1" x14ac:dyDescent="0.35">
      <c r="B23" s="639"/>
      <c r="C23" s="630"/>
      <c r="D23" s="630"/>
      <c r="E23" s="199">
        <v>1</v>
      </c>
      <c r="F23" s="199">
        <v>2</v>
      </c>
      <c r="G23" s="199">
        <v>3</v>
      </c>
      <c r="H23" s="199" t="s">
        <v>196</v>
      </c>
      <c r="I23" s="200">
        <v>5</v>
      </c>
    </row>
    <row r="24" spans="2:9" s="180" customFormat="1" ht="20.100000000000001" customHeight="1" x14ac:dyDescent="0.3">
      <c r="B24" s="184" t="s">
        <v>192</v>
      </c>
      <c r="C24" s="184"/>
      <c r="D24" s="184"/>
      <c r="E24" s="185"/>
      <c r="F24" s="185"/>
      <c r="G24" s="185"/>
      <c r="H24" s="185"/>
      <c r="I24" s="186"/>
    </row>
    <row r="25" spans="2:9" s="180" customFormat="1" ht="20.100000000000001" customHeight="1" x14ac:dyDescent="0.3">
      <c r="B25" s="184" t="s">
        <v>192</v>
      </c>
      <c r="C25" s="184"/>
      <c r="D25" s="184"/>
      <c r="E25" s="185"/>
      <c r="F25" s="185"/>
      <c r="G25" s="185"/>
      <c r="H25" s="185"/>
      <c r="I25" s="186"/>
    </row>
    <row r="26" spans="2:9" s="180" customFormat="1" ht="20.100000000000001" customHeight="1" x14ac:dyDescent="0.3">
      <c r="B26" s="184" t="s">
        <v>192</v>
      </c>
      <c r="C26" s="184"/>
      <c r="D26" s="184"/>
      <c r="E26" s="185"/>
      <c r="F26" s="185"/>
      <c r="G26" s="185"/>
      <c r="H26" s="185"/>
      <c r="I26" s="186"/>
    </row>
    <row r="27" spans="2:9" s="180" customFormat="1" ht="20.100000000000001" customHeight="1" x14ac:dyDescent="0.3">
      <c r="B27" s="187" t="s">
        <v>192</v>
      </c>
      <c r="C27" s="188"/>
      <c r="D27" s="188"/>
      <c r="E27" s="185"/>
      <c r="F27" s="185"/>
      <c r="G27" s="185"/>
      <c r="H27" s="185"/>
      <c r="I27" s="186"/>
    </row>
    <row r="28" spans="2:9" s="180" customFormat="1" ht="20.100000000000001" customHeight="1" x14ac:dyDescent="0.3">
      <c r="B28" s="187" t="s">
        <v>192</v>
      </c>
      <c r="C28" s="188"/>
      <c r="D28" s="188"/>
      <c r="E28" s="185"/>
      <c r="F28" s="185"/>
      <c r="G28" s="185"/>
      <c r="H28" s="185"/>
      <c r="I28" s="186"/>
    </row>
    <row r="29" spans="2:9" s="180" customFormat="1" ht="20.100000000000001" customHeight="1" thickBot="1" x14ac:dyDescent="0.35">
      <c r="B29" s="189" t="s">
        <v>192</v>
      </c>
      <c r="C29" s="189"/>
      <c r="D29" s="189"/>
      <c r="E29" s="190"/>
      <c r="F29" s="190"/>
      <c r="G29" s="190"/>
      <c r="H29" s="190"/>
      <c r="I29" s="191"/>
    </row>
    <row r="30" spans="2:9" s="180" customFormat="1" ht="30" customHeight="1" thickBot="1" x14ac:dyDescent="0.35">
      <c r="B30" s="640" t="s">
        <v>259</v>
      </c>
      <c r="C30" s="641"/>
      <c r="D30" s="642"/>
      <c r="E30" s="192"/>
      <c r="F30" s="192"/>
      <c r="G30" s="192"/>
      <c r="H30" s="192"/>
      <c r="I30" s="192"/>
    </row>
    <row r="31" spans="2:9" s="180" customFormat="1" ht="18.75" x14ac:dyDescent="0.3">
      <c r="B31" s="115"/>
      <c r="C31" s="115"/>
      <c r="D31" s="115"/>
      <c r="E31" s="27"/>
      <c r="F31" s="27"/>
      <c r="G31" s="27"/>
      <c r="H31" s="27"/>
      <c r="I31" s="201"/>
    </row>
    <row r="32" spans="2:9" s="180" customFormat="1" ht="18.75" x14ac:dyDescent="0.3">
      <c r="B32" s="115"/>
      <c r="C32" s="115"/>
      <c r="D32" s="115"/>
      <c r="E32" s="27"/>
      <c r="F32" s="27"/>
      <c r="G32" s="27"/>
      <c r="H32" s="27"/>
      <c r="I32" s="201"/>
    </row>
    <row r="33" spans="2:9" s="180" customFormat="1" ht="18" customHeight="1" x14ac:dyDescent="0.3">
      <c r="B33" s="628" t="s">
        <v>682</v>
      </c>
      <c r="C33" s="628"/>
      <c r="D33" s="628"/>
      <c r="E33" s="628"/>
      <c r="F33" s="628"/>
      <c r="G33" s="628"/>
      <c r="H33" s="628"/>
      <c r="I33" s="201"/>
    </row>
    <row r="34" spans="2:9" s="180" customFormat="1" ht="18.75" x14ac:dyDescent="0.3">
      <c r="B34" s="628" t="s">
        <v>573</v>
      </c>
      <c r="C34" s="628"/>
      <c r="D34" s="628"/>
      <c r="E34" s="628"/>
      <c r="F34" s="628"/>
      <c r="G34" s="628"/>
      <c r="H34" s="628"/>
      <c r="I34" s="201"/>
    </row>
    <row r="35" spans="2:9" s="180" customFormat="1" ht="18.75" x14ac:dyDescent="0.3">
      <c r="B35" s="115"/>
      <c r="C35" s="115"/>
      <c r="D35" s="115"/>
      <c r="E35" s="27"/>
      <c r="F35" s="27"/>
      <c r="G35" s="27"/>
      <c r="H35" s="27"/>
      <c r="I35" s="201"/>
    </row>
    <row r="36" spans="2:9" s="180" customFormat="1" ht="18.75" x14ac:dyDescent="0.3">
      <c r="B36" s="115"/>
      <c r="C36" s="115"/>
      <c r="D36" s="115"/>
      <c r="E36" s="27"/>
      <c r="F36" s="27"/>
      <c r="G36" s="27"/>
      <c r="H36" s="27"/>
      <c r="I36" s="201"/>
    </row>
    <row r="37" spans="2:9" s="180" customFormat="1" ht="18.75" x14ac:dyDescent="0.3">
      <c r="B37" s="202"/>
      <c r="C37" s="202"/>
      <c r="D37" s="202"/>
      <c r="E37" s="203"/>
      <c r="F37" s="204"/>
      <c r="G37" s="116"/>
      <c r="H37" s="205"/>
      <c r="I37" s="205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7" zoomScaleNormal="100" zoomScaleSheetLayoutView="75" workbookViewId="0">
      <selection activeCell="H14" sqref="H14"/>
    </sheetView>
  </sheetViews>
  <sheetFormatPr defaultColWidth="9.140625" defaultRowHeight="15.75" x14ac:dyDescent="0.25"/>
  <cols>
    <col min="1" max="1" width="5.5703125" style="76" customWidth="1"/>
    <col min="2" max="2" width="7.28515625" style="76" customWidth="1"/>
    <col min="3" max="3" width="22.7109375" style="76" customWidth="1"/>
    <col min="4" max="8" width="20.7109375" style="76" customWidth="1"/>
    <col min="9" max="9" width="18.7109375" style="76" customWidth="1"/>
    <col min="10" max="10" width="19.85546875" style="76" customWidth="1"/>
    <col min="11" max="11" width="14.7109375" style="76" customWidth="1"/>
    <col min="12" max="12" width="29.85546875" style="76" customWidth="1"/>
    <col min="13" max="13" width="34.28515625" style="76" customWidth="1"/>
    <col min="14" max="14" width="27.140625" style="76" customWidth="1"/>
    <col min="15" max="15" width="36.85546875" style="76" customWidth="1"/>
    <col min="16" max="16384" width="9.140625" style="76"/>
  </cols>
  <sheetData>
    <row r="1" spans="2:18" s="177" customFormat="1" ht="27.75" customHeight="1" x14ac:dyDescent="0.25"/>
    <row r="2" spans="2:18" x14ac:dyDescent="0.25">
      <c r="B2" s="79"/>
      <c r="H2" s="177"/>
      <c r="K2" s="177" t="s">
        <v>202</v>
      </c>
      <c r="N2" s="654"/>
      <c r="O2" s="654"/>
    </row>
    <row r="3" spans="2:18" x14ac:dyDescent="0.25">
      <c r="B3" s="79"/>
      <c r="N3" s="79"/>
      <c r="O3" s="206"/>
    </row>
    <row r="4" spans="2:18" x14ac:dyDescent="0.25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2:18" ht="20.25" x14ac:dyDescent="0.3">
      <c r="B5" s="660" t="s">
        <v>46</v>
      </c>
      <c r="C5" s="660"/>
      <c r="D5" s="660"/>
      <c r="E5" s="660"/>
      <c r="F5" s="660"/>
      <c r="G5" s="660"/>
      <c r="H5" s="660"/>
      <c r="I5" s="660"/>
      <c r="J5" s="207"/>
      <c r="K5" s="207"/>
      <c r="L5" s="207"/>
      <c r="M5" s="207"/>
      <c r="N5" s="207"/>
      <c r="O5" s="207"/>
    </row>
    <row r="6" spans="2:18" x14ac:dyDescent="0.25"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2:18" ht="16.5" thickBot="1" x14ac:dyDescent="0.3">
      <c r="C7" s="209"/>
      <c r="D7" s="209"/>
      <c r="E7" s="209"/>
      <c r="G7" s="209"/>
      <c r="H7" s="209"/>
      <c r="I7" s="210" t="s">
        <v>2</v>
      </c>
      <c r="K7" s="209"/>
      <c r="L7" s="209"/>
      <c r="M7" s="209"/>
      <c r="N7" s="209"/>
      <c r="O7" s="209"/>
      <c r="P7" s="209"/>
    </row>
    <row r="8" spans="2:18" s="214" customFormat="1" ht="32.25" customHeight="1" x14ac:dyDescent="0.2">
      <c r="B8" s="655" t="s">
        <v>3</v>
      </c>
      <c r="C8" s="650" t="s">
        <v>4</v>
      </c>
      <c r="D8" s="652" t="s">
        <v>742</v>
      </c>
      <c r="E8" s="652" t="s">
        <v>739</v>
      </c>
      <c r="F8" s="652" t="s">
        <v>740</v>
      </c>
      <c r="G8" s="657" t="s">
        <v>779</v>
      </c>
      <c r="H8" s="658"/>
      <c r="I8" s="530" t="s">
        <v>780</v>
      </c>
      <c r="J8" s="211"/>
      <c r="K8" s="211"/>
      <c r="L8" s="211"/>
      <c r="M8" s="211"/>
      <c r="N8" s="211"/>
      <c r="O8" s="212"/>
      <c r="P8" s="213"/>
      <c r="Q8" s="213"/>
      <c r="R8" s="213"/>
    </row>
    <row r="9" spans="2:18" s="214" customFormat="1" ht="28.5" customHeight="1" thickBot="1" x14ac:dyDescent="0.25">
      <c r="B9" s="656"/>
      <c r="C9" s="651"/>
      <c r="D9" s="653"/>
      <c r="E9" s="653"/>
      <c r="F9" s="653"/>
      <c r="G9" s="215" t="s">
        <v>0</v>
      </c>
      <c r="H9" s="216" t="s">
        <v>44</v>
      </c>
      <c r="I9" s="659"/>
      <c r="J9" s="213"/>
      <c r="K9" s="213"/>
      <c r="L9" s="213"/>
      <c r="M9" s="213"/>
      <c r="N9" s="213"/>
      <c r="O9" s="213"/>
      <c r="P9" s="213"/>
      <c r="Q9" s="213"/>
      <c r="R9" s="213"/>
    </row>
    <row r="10" spans="2:18" s="221" customFormat="1" ht="24" customHeight="1" x14ac:dyDescent="0.2">
      <c r="B10" s="217" t="s">
        <v>50</v>
      </c>
      <c r="C10" s="218" t="s">
        <v>41</v>
      </c>
      <c r="D10" s="219"/>
      <c r="E10" s="219"/>
      <c r="F10" s="219"/>
      <c r="G10" s="219"/>
      <c r="H10" s="219"/>
      <c r="I10" s="220" t="str">
        <f>IFERROR(H10/G10,"  ")</f>
        <v xml:space="preserve">  </v>
      </c>
      <c r="J10" s="117"/>
      <c r="K10" s="117"/>
      <c r="L10" s="117"/>
      <c r="M10" s="117"/>
      <c r="N10" s="117"/>
      <c r="O10" s="117"/>
      <c r="P10" s="117"/>
      <c r="Q10" s="117"/>
      <c r="R10" s="117"/>
    </row>
    <row r="11" spans="2:18" s="221" customFormat="1" ht="24" customHeight="1" x14ac:dyDescent="0.2">
      <c r="B11" s="222" t="s">
        <v>51</v>
      </c>
      <c r="C11" s="223" t="s">
        <v>42</v>
      </c>
      <c r="D11" s="224">
        <v>100000</v>
      </c>
      <c r="E11" s="224">
        <v>60000</v>
      </c>
      <c r="F11" s="224">
        <v>100000</v>
      </c>
      <c r="G11" s="224">
        <v>100000</v>
      </c>
      <c r="H11" s="224">
        <v>0</v>
      </c>
      <c r="I11" s="225">
        <f t="shared" ref="I11:I16" si="0">IFERROR(H11/G11,"  ")</f>
        <v>0</v>
      </c>
      <c r="J11" s="117"/>
      <c r="K11" s="117"/>
      <c r="L11" s="117"/>
      <c r="M11" s="117"/>
      <c r="N11" s="117"/>
      <c r="O11" s="117"/>
      <c r="P11" s="117"/>
      <c r="Q11" s="117"/>
      <c r="R11" s="117"/>
    </row>
    <row r="12" spans="2:18" s="221" customFormat="1" ht="24" customHeight="1" x14ac:dyDescent="0.2">
      <c r="B12" s="222" t="s">
        <v>52</v>
      </c>
      <c r="C12" s="223" t="s">
        <v>37</v>
      </c>
      <c r="D12" s="224">
        <v>3400000</v>
      </c>
      <c r="E12" s="224">
        <v>264267</v>
      </c>
      <c r="F12" s="224">
        <v>500000</v>
      </c>
      <c r="G12" s="224">
        <v>500000</v>
      </c>
      <c r="H12" s="224">
        <v>0</v>
      </c>
      <c r="I12" s="225">
        <f t="shared" si="0"/>
        <v>0</v>
      </c>
      <c r="J12" s="117"/>
      <c r="K12" s="117"/>
      <c r="L12" s="117"/>
      <c r="M12" s="117"/>
      <c r="N12" s="117"/>
      <c r="O12" s="117"/>
      <c r="P12" s="117"/>
      <c r="Q12" s="117"/>
      <c r="R12" s="117"/>
    </row>
    <row r="13" spans="2:18" s="221" customFormat="1" ht="24" customHeight="1" x14ac:dyDescent="0.2">
      <c r="B13" s="222" t="s">
        <v>53</v>
      </c>
      <c r="C13" s="223" t="s">
        <v>38</v>
      </c>
      <c r="D13" s="224"/>
      <c r="E13" s="224"/>
      <c r="F13" s="224">
        <v>2500000</v>
      </c>
      <c r="G13" s="224">
        <v>2500000</v>
      </c>
      <c r="H13" s="224">
        <v>0</v>
      </c>
      <c r="I13" s="225">
        <f t="shared" si="0"/>
        <v>0</v>
      </c>
      <c r="J13" s="117"/>
      <c r="K13" s="117"/>
      <c r="L13" s="117"/>
      <c r="M13" s="117"/>
      <c r="N13" s="117"/>
      <c r="O13" s="117"/>
      <c r="P13" s="117"/>
      <c r="Q13" s="117"/>
      <c r="R13" s="117"/>
    </row>
    <row r="14" spans="2:18" s="221" customFormat="1" ht="24" customHeight="1" x14ac:dyDescent="0.2">
      <c r="B14" s="222" t="s">
        <v>54</v>
      </c>
      <c r="C14" s="223" t="s">
        <v>39</v>
      </c>
      <c r="D14" s="224">
        <v>3000000</v>
      </c>
      <c r="E14" s="224">
        <v>2311290</v>
      </c>
      <c r="F14" s="224">
        <v>3000000</v>
      </c>
      <c r="G14" s="224">
        <v>3000000</v>
      </c>
      <c r="H14" s="224">
        <v>2433460</v>
      </c>
      <c r="I14" s="225">
        <f t="shared" si="0"/>
        <v>0.81115333333333328</v>
      </c>
      <c r="J14" s="117"/>
      <c r="K14" s="117"/>
      <c r="L14" s="117"/>
      <c r="M14" s="117"/>
      <c r="N14" s="117"/>
      <c r="O14" s="117"/>
      <c r="P14" s="117"/>
      <c r="Q14" s="117"/>
      <c r="R14" s="117"/>
    </row>
    <row r="15" spans="2:18" s="221" customFormat="1" ht="24" customHeight="1" x14ac:dyDescent="0.2">
      <c r="B15" s="222" t="s">
        <v>55</v>
      </c>
      <c r="C15" s="223" t="s">
        <v>40</v>
      </c>
      <c r="D15" s="224">
        <v>1500000</v>
      </c>
      <c r="E15" s="224">
        <v>661284</v>
      </c>
      <c r="F15" s="224">
        <v>1500000</v>
      </c>
      <c r="G15" s="224">
        <v>1500000</v>
      </c>
      <c r="H15" s="224">
        <v>917527</v>
      </c>
      <c r="I15" s="225">
        <f t="shared" si="0"/>
        <v>0.61168466666666665</v>
      </c>
      <c r="J15" s="117"/>
      <c r="K15" s="117"/>
      <c r="L15" s="117"/>
      <c r="M15" s="117"/>
      <c r="N15" s="117"/>
      <c r="O15" s="117"/>
      <c r="P15" s="117"/>
      <c r="Q15" s="117"/>
      <c r="R15" s="117"/>
    </row>
    <row r="16" spans="2:18" s="221" customFormat="1" ht="24" customHeight="1" thickBot="1" x14ac:dyDescent="0.25">
      <c r="B16" s="226"/>
      <c r="C16" s="227" t="s">
        <v>47</v>
      </c>
      <c r="D16" s="228">
        <v>500000</v>
      </c>
      <c r="E16" s="228"/>
      <c r="F16" s="228">
        <v>500000</v>
      </c>
      <c r="G16" s="228">
        <v>500000</v>
      </c>
      <c r="H16" s="228">
        <v>0</v>
      </c>
      <c r="I16" s="228">
        <f t="shared" si="0"/>
        <v>0</v>
      </c>
      <c r="J16" s="117"/>
      <c r="K16" s="117"/>
      <c r="L16" s="117"/>
      <c r="M16" s="117"/>
      <c r="N16" s="117"/>
      <c r="O16" s="117"/>
      <c r="P16" s="117"/>
      <c r="Q16" s="117"/>
      <c r="R16" s="117"/>
    </row>
    <row r="17" spans="2:11" ht="16.5" thickBot="1" x14ac:dyDescent="0.3">
      <c r="B17" s="229"/>
      <c r="C17" s="229"/>
      <c r="D17" s="229"/>
      <c r="E17" s="229"/>
      <c r="F17" s="459"/>
      <c r="G17" s="458"/>
      <c r="H17" s="458"/>
      <c r="I17" s="458"/>
    </row>
    <row r="18" spans="2:11" ht="20.25" customHeight="1" x14ac:dyDescent="0.25">
      <c r="B18" s="644" t="s">
        <v>190</v>
      </c>
      <c r="C18" s="647" t="s">
        <v>41</v>
      </c>
      <c r="D18" s="647"/>
      <c r="E18" s="648"/>
      <c r="F18" s="649" t="s">
        <v>42</v>
      </c>
      <c r="G18" s="647"/>
      <c r="H18" s="648"/>
      <c r="I18" s="649" t="s">
        <v>37</v>
      </c>
      <c r="J18" s="647"/>
      <c r="K18" s="648"/>
    </row>
    <row r="19" spans="2:11" x14ac:dyDescent="0.25">
      <c r="B19" s="645"/>
      <c r="C19" s="230">
        <v>1</v>
      </c>
      <c r="D19" s="230">
        <v>2</v>
      </c>
      <c r="E19" s="231">
        <v>3</v>
      </c>
      <c r="F19" s="232">
        <v>4</v>
      </c>
      <c r="G19" s="230">
        <v>5</v>
      </c>
      <c r="H19" s="231">
        <v>6</v>
      </c>
      <c r="I19" s="232">
        <v>7</v>
      </c>
      <c r="J19" s="230">
        <v>8</v>
      </c>
      <c r="K19" s="231">
        <v>9</v>
      </c>
    </row>
    <row r="20" spans="2:11" x14ac:dyDescent="0.25">
      <c r="B20" s="646"/>
      <c r="C20" s="233" t="s">
        <v>191</v>
      </c>
      <c r="D20" s="233" t="s">
        <v>192</v>
      </c>
      <c r="E20" s="234" t="s">
        <v>193</v>
      </c>
      <c r="F20" s="235" t="s">
        <v>191</v>
      </c>
      <c r="G20" s="233" t="s">
        <v>192</v>
      </c>
      <c r="H20" s="234" t="s">
        <v>193</v>
      </c>
      <c r="I20" s="235" t="s">
        <v>191</v>
      </c>
      <c r="J20" s="233" t="s">
        <v>192</v>
      </c>
      <c r="K20" s="234" t="s">
        <v>193</v>
      </c>
    </row>
    <row r="21" spans="2:11" x14ac:dyDescent="0.25">
      <c r="B21" s="236">
        <v>1</v>
      </c>
      <c r="C21" s="237"/>
      <c r="D21" s="237"/>
      <c r="E21" s="238"/>
      <c r="F21" s="239"/>
      <c r="G21" s="237"/>
      <c r="H21" s="238"/>
      <c r="I21" s="239"/>
      <c r="J21" s="237"/>
      <c r="K21" s="238"/>
    </row>
    <row r="22" spans="2:11" x14ac:dyDescent="0.25">
      <c r="B22" s="236">
        <v>2</v>
      </c>
      <c r="C22" s="237"/>
      <c r="D22" s="237"/>
      <c r="E22" s="238"/>
      <c r="F22" s="239"/>
      <c r="G22" s="237"/>
      <c r="H22" s="238"/>
      <c r="I22" s="239"/>
      <c r="J22" s="237"/>
      <c r="K22" s="238"/>
    </row>
    <row r="23" spans="2:11" x14ac:dyDescent="0.25">
      <c r="B23" s="236">
        <v>3</v>
      </c>
      <c r="C23" s="237"/>
      <c r="D23" s="237"/>
      <c r="E23" s="238"/>
      <c r="F23" s="239"/>
      <c r="G23" s="237"/>
      <c r="H23" s="238"/>
      <c r="I23" s="239"/>
      <c r="J23" s="237"/>
      <c r="K23" s="238"/>
    </row>
    <row r="24" spans="2:11" x14ac:dyDescent="0.25">
      <c r="B24" s="236">
        <v>4</v>
      </c>
      <c r="C24" s="237"/>
      <c r="D24" s="237"/>
      <c r="E24" s="238"/>
      <c r="F24" s="239"/>
      <c r="G24" s="237"/>
      <c r="H24" s="238"/>
      <c r="I24" s="239"/>
      <c r="J24" s="237"/>
      <c r="K24" s="238"/>
    </row>
    <row r="25" spans="2:11" x14ac:dyDescent="0.25">
      <c r="B25" s="236">
        <v>5</v>
      </c>
      <c r="C25" s="237"/>
      <c r="D25" s="237"/>
      <c r="E25" s="238"/>
      <c r="F25" s="239"/>
      <c r="G25" s="237"/>
      <c r="H25" s="238"/>
      <c r="I25" s="239"/>
      <c r="J25" s="237"/>
      <c r="K25" s="238"/>
    </row>
    <row r="26" spans="2:11" x14ac:dyDescent="0.25">
      <c r="B26" s="236">
        <v>6</v>
      </c>
      <c r="C26" s="237"/>
      <c r="D26" s="237"/>
      <c r="E26" s="238"/>
      <c r="F26" s="239"/>
      <c r="G26" s="237"/>
      <c r="H26" s="238"/>
      <c r="I26" s="239"/>
      <c r="J26" s="237"/>
      <c r="K26" s="238"/>
    </row>
    <row r="27" spans="2:11" x14ac:dyDescent="0.25">
      <c r="B27" s="236">
        <v>7</v>
      </c>
      <c r="C27" s="237"/>
      <c r="D27" s="237"/>
      <c r="E27" s="238"/>
      <c r="F27" s="239"/>
      <c r="G27" s="237"/>
      <c r="H27" s="238"/>
      <c r="I27" s="239"/>
      <c r="J27" s="237"/>
      <c r="K27" s="238"/>
    </row>
    <row r="28" spans="2:11" x14ac:dyDescent="0.25">
      <c r="B28" s="236">
        <v>8</v>
      </c>
      <c r="C28" s="237"/>
      <c r="D28" s="237"/>
      <c r="E28" s="238"/>
      <c r="F28" s="239"/>
      <c r="G28" s="237"/>
      <c r="H28" s="238"/>
      <c r="I28" s="239"/>
      <c r="J28" s="237"/>
      <c r="K28" s="238"/>
    </row>
    <row r="29" spans="2:11" x14ac:dyDescent="0.25">
      <c r="B29" s="236">
        <v>9</v>
      </c>
      <c r="C29" s="237"/>
      <c r="D29" s="237"/>
      <c r="E29" s="238"/>
      <c r="F29" s="239"/>
      <c r="G29" s="237"/>
      <c r="H29" s="238"/>
      <c r="I29" s="239"/>
      <c r="J29" s="237"/>
      <c r="K29" s="238"/>
    </row>
    <row r="30" spans="2:11" ht="16.5" thickBot="1" x14ac:dyDescent="0.3">
      <c r="B30" s="240">
        <v>10</v>
      </c>
      <c r="C30" s="241"/>
      <c r="D30" s="241"/>
      <c r="E30" s="242"/>
      <c r="F30" s="243"/>
      <c r="G30" s="241"/>
      <c r="H30" s="242"/>
      <c r="I30" s="243"/>
      <c r="J30" s="241"/>
      <c r="K30" s="242"/>
    </row>
    <row r="32" spans="2:11" ht="15.75" customHeight="1" x14ac:dyDescent="0.25">
      <c r="B32" s="643" t="s">
        <v>573</v>
      </c>
      <c r="C32" s="643"/>
      <c r="D32" s="643"/>
      <c r="E32" s="643"/>
      <c r="F32" s="643"/>
      <c r="G32" s="643"/>
      <c r="H32" s="643"/>
      <c r="I32" s="39"/>
    </row>
    <row r="33" spans="2:7" x14ac:dyDescent="0.25">
      <c r="B33" s="39"/>
      <c r="C33" s="39"/>
      <c r="D33" s="39"/>
      <c r="E33" s="39"/>
      <c r="G33" s="39"/>
    </row>
    <row r="34" spans="2:7" x14ac:dyDescent="0.25">
      <c r="B34" s="39"/>
      <c r="C34" s="39"/>
      <c r="E34" s="39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5" type="noConversion"/>
  <pageMargins left="0.7" right="0.7" top="0.75" bottom="0.75" header="0.3" footer="0.3"/>
  <pageSetup paperSize="9" scale="71" orientation="landscape" r:id="rId1"/>
  <headerFooter alignWithMargins="0"/>
  <ignoredErrors>
    <ignoredError sqref="B10:B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topLeftCell="A19" workbookViewId="0">
      <selection activeCell="C37" sqref="C37"/>
    </sheetView>
  </sheetViews>
  <sheetFormatPr defaultRowHeight="15.75" x14ac:dyDescent="0.25"/>
  <cols>
    <col min="1" max="1" width="5.42578125" style="39" customWidth="1"/>
    <col min="2" max="2" width="12.7109375" style="39" customWidth="1"/>
    <col min="3" max="7" width="15.7109375" style="39" customWidth="1"/>
    <col min="8" max="8" width="17.140625" style="39" customWidth="1"/>
    <col min="9" max="9" width="8.7109375" style="39" customWidth="1"/>
    <col min="10" max="10" width="17.7109375" style="39" customWidth="1"/>
    <col min="11" max="11" width="8.7109375" style="39" customWidth="1"/>
    <col min="12" max="12" width="17.7109375" style="39" customWidth="1"/>
    <col min="13" max="13" width="43" style="39" customWidth="1"/>
    <col min="14" max="14" width="18.42578125" style="39" customWidth="1"/>
    <col min="15" max="259" width="9.140625" style="39"/>
    <col min="260" max="260" width="5.42578125" style="39" customWidth="1"/>
    <col min="261" max="261" width="18" style="39" bestFit="1" customWidth="1"/>
    <col min="262" max="262" width="18" style="39" customWidth="1"/>
    <col min="263" max="263" width="17.42578125" style="39" customWidth="1"/>
    <col min="264" max="264" width="17.5703125" style="39" bestFit="1" customWidth="1"/>
    <col min="265" max="265" width="19.42578125" style="39" customWidth="1"/>
    <col min="266" max="266" width="15.85546875" style="39" customWidth="1"/>
    <col min="267" max="267" width="17.85546875" style="39" customWidth="1"/>
    <col min="268" max="268" width="22.140625" style="39" customWidth="1"/>
    <col min="269" max="269" width="15.42578125" style="39" bestFit="1" customWidth="1"/>
    <col min="270" max="270" width="18.42578125" style="39" customWidth="1"/>
    <col min="271" max="515" width="9.140625" style="39"/>
    <col min="516" max="516" width="5.42578125" style="39" customWidth="1"/>
    <col min="517" max="517" width="18" style="39" bestFit="1" customWidth="1"/>
    <col min="518" max="518" width="18" style="39" customWidth="1"/>
    <col min="519" max="519" width="17.42578125" style="39" customWidth="1"/>
    <col min="520" max="520" width="17.5703125" style="39" bestFit="1" customWidth="1"/>
    <col min="521" max="521" width="19.42578125" style="39" customWidth="1"/>
    <col min="522" max="522" width="15.85546875" style="39" customWidth="1"/>
    <col min="523" max="523" width="17.85546875" style="39" customWidth="1"/>
    <col min="524" max="524" width="22.140625" style="39" customWidth="1"/>
    <col min="525" max="525" width="15.42578125" style="39" bestFit="1" customWidth="1"/>
    <col min="526" max="526" width="18.42578125" style="39" customWidth="1"/>
    <col min="527" max="771" width="9.140625" style="39"/>
    <col min="772" max="772" width="5.42578125" style="39" customWidth="1"/>
    <col min="773" max="773" width="18" style="39" bestFit="1" customWidth="1"/>
    <col min="774" max="774" width="18" style="39" customWidth="1"/>
    <col min="775" max="775" width="17.42578125" style="39" customWidth="1"/>
    <col min="776" max="776" width="17.5703125" style="39" bestFit="1" customWidth="1"/>
    <col min="777" max="777" width="19.42578125" style="39" customWidth="1"/>
    <col min="778" max="778" width="15.85546875" style="39" customWidth="1"/>
    <col min="779" max="779" width="17.85546875" style="39" customWidth="1"/>
    <col min="780" max="780" width="22.140625" style="39" customWidth="1"/>
    <col min="781" max="781" width="15.42578125" style="39" bestFit="1" customWidth="1"/>
    <col min="782" max="782" width="18.42578125" style="39" customWidth="1"/>
    <col min="783" max="1027" width="9.140625" style="39"/>
    <col min="1028" max="1028" width="5.42578125" style="39" customWidth="1"/>
    <col min="1029" max="1029" width="18" style="39" bestFit="1" customWidth="1"/>
    <col min="1030" max="1030" width="18" style="39" customWidth="1"/>
    <col min="1031" max="1031" width="17.42578125" style="39" customWidth="1"/>
    <col min="1032" max="1032" width="17.5703125" style="39" bestFit="1" customWidth="1"/>
    <col min="1033" max="1033" width="19.42578125" style="39" customWidth="1"/>
    <col min="1034" max="1034" width="15.85546875" style="39" customWidth="1"/>
    <col min="1035" max="1035" width="17.85546875" style="39" customWidth="1"/>
    <col min="1036" max="1036" width="22.140625" style="39" customWidth="1"/>
    <col min="1037" max="1037" width="15.42578125" style="39" bestFit="1" customWidth="1"/>
    <col min="1038" max="1038" width="18.42578125" style="39" customWidth="1"/>
    <col min="1039" max="1283" width="9.140625" style="39"/>
    <col min="1284" max="1284" width="5.42578125" style="39" customWidth="1"/>
    <col min="1285" max="1285" width="18" style="39" bestFit="1" customWidth="1"/>
    <col min="1286" max="1286" width="18" style="39" customWidth="1"/>
    <col min="1287" max="1287" width="17.42578125" style="39" customWidth="1"/>
    <col min="1288" max="1288" width="17.5703125" style="39" bestFit="1" customWidth="1"/>
    <col min="1289" max="1289" width="19.42578125" style="39" customWidth="1"/>
    <col min="1290" max="1290" width="15.85546875" style="39" customWidth="1"/>
    <col min="1291" max="1291" width="17.85546875" style="39" customWidth="1"/>
    <col min="1292" max="1292" width="22.140625" style="39" customWidth="1"/>
    <col min="1293" max="1293" width="15.42578125" style="39" bestFit="1" customWidth="1"/>
    <col min="1294" max="1294" width="18.42578125" style="39" customWidth="1"/>
    <col min="1295" max="1539" width="9.140625" style="39"/>
    <col min="1540" max="1540" width="5.42578125" style="39" customWidth="1"/>
    <col min="1541" max="1541" width="18" style="39" bestFit="1" customWidth="1"/>
    <col min="1542" max="1542" width="18" style="39" customWidth="1"/>
    <col min="1543" max="1543" width="17.42578125" style="39" customWidth="1"/>
    <col min="1544" max="1544" width="17.5703125" style="39" bestFit="1" customWidth="1"/>
    <col min="1545" max="1545" width="19.42578125" style="39" customWidth="1"/>
    <col min="1546" max="1546" width="15.85546875" style="39" customWidth="1"/>
    <col min="1547" max="1547" width="17.85546875" style="39" customWidth="1"/>
    <col min="1548" max="1548" width="22.140625" style="39" customWidth="1"/>
    <col min="1549" max="1549" width="15.42578125" style="39" bestFit="1" customWidth="1"/>
    <col min="1550" max="1550" width="18.42578125" style="39" customWidth="1"/>
    <col min="1551" max="1795" width="9.140625" style="39"/>
    <col min="1796" max="1796" width="5.42578125" style="39" customWidth="1"/>
    <col min="1797" max="1797" width="18" style="39" bestFit="1" customWidth="1"/>
    <col min="1798" max="1798" width="18" style="39" customWidth="1"/>
    <col min="1799" max="1799" width="17.42578125" style="39" customWidth="1"/>
    <col min="1800" max="1800" width="17.5703125" style="39" bestFit="1" customWidth="1"/>
    <col min="1801" max="1801" width="19.42578125" style="39" customWidth="1"/>
    <col min="1802" max="1802" width="15.85546875" style="39" customWidth="1"/>
    <col min="1803" max="1803" width="17.85546875" style="39" customWidth="1"/>
    <col min="1804" max="1804" width="22.140625" style="39" customWidth="1"/>
    <col min="1805" max="1805" width="15.42578125" style="39" bestFit="1" customWidth="1"/>
    <col min="1806" max="1806" width="18.42578125" style="39" customWidth="1"/>
    <col min="1807" max="2051" width="9.140625" style="39"/>
    <col min="2052" max="2052" width="5.42578125" style="39" customWidth="1"/>
    <col min="2053" max="2053" width="18" style="39" bestFit="1" customWidth="1"/>
    <col min="2054" max="2054" width="18" style="39" customWidth="1"/>
    <col min="2055" max="2055" width="17.42578125" style="39" customWidth="1"/>
    <col min="2056" max="2056" width="17.5703125" style="39" bestFit="1" customWidth="1"/>
    <col min="2057" max="2057" width="19.42578125" style="39" customWidth="1"/>
    <col min="2058" max="2058" width="15.85546875" style="39" customWidth="1"/>
    <col min="2059" max="2059" width="17.85546875" style="39" customWidth="1"/>
    <col min="2060" max="2060" width="22.140625" style="39" customWidth="1"/>
    <col min="2061" max="2061" width="15.42578125" style="39" bestFit="1" customWidth="1"/>
    <col min="2062" max="2062" width="18.42578125" style="39" customWidth="1"/>
    <col min="2063" max="2307" width="9.140625" style="39"/>
    <col min="2308" max="2308" width="5.42578125" style="39" customWidth="1"/>
    <col min="2309" max="2309" width="18" style="39" bestFit="1" customWidth="1"/>
    <col min="2310" max="2310" width="18" style="39" customWidth="1"/>
    <col min="2311" max="2311" width="17.42578125" style="39" customWidth="1"/>
    <col min="2312" max="2312" width="17.5703125" style="39" bestFit="1" customWidth="1"/>
    <col min="2313" max="2313" width="19.42578125" style="39" customWidth="1"/>
    <col min="2314" max="2314" width="15.85546875" style="39" customWidth="1"/>
    <col min="2315" max="2315" width="17.85546875" style="39" customWidth="1"/>
    <col min="2316" max="2316" width="22.140625" style="39" customWidth="1"/>
    <col min="2317" max="2317" width="15.42578125" style="39" bestFit="1" customWidth="1"/>
    <col min="2318" max="2318" width="18.42578125" style="39" customWidth="1"/>
    <col min="2319" max="2563" width="9.140625" style="39"/>
    <col min="2564" max="2564" width="5.42578125" style="39" customWidth="1"/>
    <col min="2565" max="2565" width="18" style="39" bestFit="1" customWidth="1"/>
    <col min="2566" max="2566" width="18" style="39" customWidth="1"/>
    <col min="2567" max="2567" width="17.42578125" style="39" customWidth="1"/>
    <col min="2568" max="2568" width="17.5703125" style="39" bestFit="1" customWidth="1"/>
    <col min="2569" max="2569" width="19.42578125" style="39" customWidth="1"/>
    <col min="2570" max="2570" width="15.85546875" style="39" customWidth="1"/>
    <col min="2571" max="2571" width="17.85546875" style="39" customWidth="1"/>
    <col min="2572" max="2572" width="22.140625" style="39" customWidth="1"/>
    <col min="2573" max="2573" width="15.42578125" style="39" bestFit="1" customWidth="1"/>
    <col min="2574" max="2574" width="18.42578125" style="39" customWidth="1"/>
    <col min="2575" max="2819" width="9.140625" style="39"/>
    <col min="2820" max="2820" width="5.42578125" style="39" customWidth="1"/>
    <col min="2821" max="2821" width="18" style="39" bestFit="1" customWidth="1"/>
    <col min="2822" max="2822" width="18" style="39" customWidth="1"/>
    <col min="2823" max="2823" width="17.42578125" style="39" customWidth="1"/>
    <col min="2824" max="2824" width="17.5703125" style="39" bestFit="1" customWidth="1"/>
    <col min="2825" max="2825" width="19.42578125" style="39" customWidth="1"/>
    <col min="2826" max="2826" width="15.85546875" style="39" customWidth="1"/>
    <col min="2827" max="2827" width="17.85546875" style="39" customWidth="1"/>
    <col min="2828" max="2828" width="22.140625" style="39" customWidth="1"/>
    <col min="2829" max="2829" width="15.42578125" style="39" bestFit="1" customWidth="1"/>
    <col min="2830" max="2830" width="18.42578125" style="39" customWidth="1"/>
    <col min="2831" max="3075" width="9.140625" style="39"/>
    <col min="3076" max="3076" width="5.42578125" style="39" customWidth="1"/>
    <col min="3077" max="3077" width="18" style="39" bestFit="1" customWidth="1"/>
    <col min="3078" max="3078" width="18" style="39" customWidth="1"/>
    <col min="3079" max="3079" width="17.42578125" style="39" customWidth="1"/>
    <col min="3080" max="3080" width="17.5703125" style="39" bestFit="1" customWidth="1"/>
    <col min="3081" max="3081" width="19.42578125" style="39" customWidth="1"/>
    <col min="3082" max="3082" width="15.85546875" style="39" customWidth="1"/>
    <col min="3083" max="3083" width="17.85546875" style="39" customWidth="1"/>
    <col min="3084" max="3084" width="22.140625" style="39" customWidth="1"/>
    <col min="3085" max="3085" width="15.42578125" style="39" bestFit="1" customWidth="1"/>
    <col min="3086" max="3086" width="18.42578125" style="39" customWidth="1"/>
    <col min="3087" max="3331" width="9.140625" style="39"/>
    <col min="3332" max="3332" width="5.42578125" style="39" customWidth="1"/>
    <col min="3333" max="3333" width="18" style="39" bestFit="1" customWidth="1"/>
    <col min="3334" max="3334" width="18" style="39" customWidth="1"/>
    <col min="3335" max="3335" width="17.42578125" style="39" customWidth="1"/>
    <col min="3336" max="3336" width="17.5703125" style="39" bestFit="1" customWidth="1"/>
    <col min="3337" max="3337" width="19.42578125" style="39" customWidth="1"/>
    <col min="3338" max="3338" width="15.85546875" style="39" customWidth="1"/>
    <col min="3339" max="3339" width="17.85546875" style="39" customWidth="1"/>
    <col min="3340" max="3340" width="22.140625" style="39" customWidth="1"/>
    <col min="3341" max="3341" width="15.42578125" style="39" bestFit="1" customWidth="1"/>
    <col min="3342" max="3342" width="18.42578125" style="39" customWidth="1"/>
    <col min="3343" max="3587" width="9.140625" style="39"/>
    <col min="3588" max="3588" width="5.42578125" style="39" customWidth="1"/>
    <col min="3589" max="3589" width="18" style="39" bestFit="1" customWidth="1"/>
    <col min="3590" max="3590" width="18" style="39" customWidth="1"/>
    <col min="3591" max="3591" width="17.42578125" style="39" customWidth="1"/>
    <col min="3592" max="3592" width="17.5703125" style="39" bestFit="1" customWidth="1"/>
    <col min="3593" max="3593" width="19.42578125" style="39" customWidth="1"/>
    <col min="3594" max="3594" width="15.85546875" style="39" customWidth="1"/>
    <col min="3595" max="3595" width="17.85546875" style="39" customWidth="1"/>
    <col min="3596" max="3596" width="22.140625" style="39" customWidth="1"/>
    <col min="3597" max="3597" width="15.42578125" style="39" bestFit="1" customWidth="1"/>
    <col min="3598" max="3598" width="18.42578125" style="39" customWidth="1"/>
    <col min="3599" max="3843" width="9.140625" style="39"/>
    <col min="3844" max="3844" width="5.42578125" style="39" customWidth="1"/>
    <col min="3845" max="3845" width="18" style="39" bestFit="1" customWidth="1"/>
    <col min="3846" max="3846" width="18" style="39" customWidth="1"/>
    <col min="3847" max="3847" width="17.42578125" style="39" customWidth="1"/>
    <col min="3848" max="3848" width="17.5703125" style="39" bestFit="1" customWidth="1"/>
    <col min="3849" max="3849" width="19.42578125" style="39" customWidth="1"/>
    <col min="3850" max="3850" width="15.85546875" style="39" customWidth="1"/>
    <col min="3851" max="3851" width="17.85546875" style="39" customWidth="1"/>
    <col min="3852" max="3852" width="22.140625" style="39" customWidth="1"/>
    <col min="3853" max="3853" width="15.42578125" style="39" bestFit="1" customWidth="1"/>
    <col min="3854" max="3854" width="18.42578125" style="39" customWidth="1"/>
    <col min="3855" max="4099" width="9.140625" style="39"/>
    <col min="4100" max="4100" width="5.42578125" style="39" customWidth="1"/>
    <col min="4101" max="4101" width="18" style="39" bestFit="1" customWidth="1"/>
    <col min="4102" max="4102" width="18" style="39" customWidth="1"/>
    <col min="4103" max="4103" width="17.42578125" style="39" customWidth="1"/>
    <col min="4104" max="4104" width="17.5703125" style="39" bestFit="1" customWidth="1"/>
    <col min="4105" max="4105" width="19.42578125" style="39" customWidth="1"/>
    <col min="4106" max="4106" width="15.85546875" style="39" customWidth="1"/>
    <col min="4107" max="4107" width="17.85546875" style="39" customWidth="1"/>
    <col min="4108" max="4108" width="22.140625" style="39" customWidth="1"/>
    <col min="4109" max="4109" width="15.42578125" style="39" bestFit="1" customWidth="1"/>
    <col min="4110" max="4110" width="18.42578125" style="39" customWidth="1"/>
    <col min="4111" max="4355" width="9.140625" style="39"/>
    <col min="4356" max="4356" width="5.42578125" style="39" customWidth="1"/>
    <col min="4357" max="4357" width="18" style="39" bestFit="1" customWidth="1"/>
    <col min="4358" max="4358" width="18" style="39" customWidth="1"/>
    <col min="4359" max="4359" width="17.42578125" style="39" customWidth="1"/>
    <col min="4360" max="4360" width="17.5703125" style="39" bestFit="1" customWidth="1"/>
    <col min="4361" max="4361" width="19.42578125" style="39" customWidth="1"/>
    <col min="4362" max="4362" width="15.85546875" style="39" customWidth="1"/>
    <col min="4363" max="4363" width="17.85546875" style="39" customWidth="1"/>
    <col min="4364" max="4364" width="22.140625" style="39" customWidth="1"/>
    <col min="4365" max="4365" width="15.42578125" style="39" bestFit="1" customWidth="1"/>
    <col min="4366" max="4366" width="18.42578125" style="39" customWidth="1"/>
    <col min="4367" max="4611" width="9.140625" style="39"/>
    <col min="4612" max="4612" width="5.42578125" style="39" customWidth="1"/>
    <col min="4613" max="4613" width="18" style="39" bestFit="1" customWidth="1"/>
    <col min="4614" max="4614" width="18" style="39" customWidth="1"/>
    <col min="4615" max="4615" width="17.42578125" style="39" customWidth="1"/>
    <col min="4616" max="4616" width="17.5703125" style="39" bestFit="1" customWidth="1"/>
    <col min="4617" max="4617" width="19.42578125" style="39" customWidth="1"/>
    <col min="4618" max="4618" width="15.85546875" style="39" customWidth="1"/>
    <col min="4619" max="4619" width="17.85546875" style="39" customWidth="1"/>
    <col min="4620" max="4620" width="22.140625" style="39" customWidth="1"/>
    <col min="4621" max="4621" width="15.42578125" style="39" bestFit="1" customWidth="1"/>
    <col min="4622" max="4622" width="18.42578125" style="39" customWidth="1"/>
    <col min="4623" max="4867" width="9.140625" style="39"/>
    <col min="4868" max="4868" width="5.42578125" style="39" customWidth="1"/>
    <col min="4869" max="4869" width="18" style="39" bestFit="1" customWidth="1"/>
    <col min="4870" max="4870" width="18" style="39" customWidth="1"/>
    <col min="4871" max="4871" width="17.42578125" style="39" customWidth="1"/>
    <col min="4872" max="4872" width="17.5703125" style="39" bestFit="1" customWidth="1"/>
    <col min="4873" max="4873" width="19.42578125" style="39" customWidth="1"/>
    <col min="4874" max="4874" width="15.85546875" style="39" customWidth="1"/>
    <col min="4875" max="4875" width="17.85546875" style="39" customWidth="1"/>
    <col min="4876" max="4876" width="22.140625" style="39" customWidth="1"/>
    <col min="4877" max="4877" width="15.42578125" style="39" bestFit="1" customWidth="1"/>
    <col min="4878" max="4878" width="18.42578125" style="39" customWidth="1"/>
    <col min="4879" max="5123" width="9.140625" style="39"/>
    <col min="5124" max="5124" width="5.42578125" style="39" customWidth="1"/>
    <col min="5125" max="5125" width="18" style="39" bestFit="1" customWidth="1"/>
    <col min="5126" max="5126" width="18" style="39" customWidth="1"/>
    <col min="5127" max="5127" width="17.42578125" style="39" customWidth="1"/>
    <col min="5128" max="5128" width="17.5703125" style="39" bestFit="1" customWidth="1"/>
    <col min="5129" max="5129" width="19.42578125" style="39" customWidth="1"/>
    <col min="5130" max="5130" width="15.85546875" style="39" customWidth="1"/>
    <col min="5131" max="5131" width="17.85546875" style="39" customWidth="1"/>
    <col min="5132" max="5132" width="22.140625" style="39" customWidth="1"/>
    <col min="5133" max="5133" width="15.42578125" style="39" bestFit="1" customWidth="1"/>
    <col min="5134" max="5134" width="18.42578125" style="39" customWidth="1"/>
    <col min="5135" max="5379" width="9.140625" style="39"/>
    <col min="5380" max="5380" width="5.42578125" style="39" customWidth="1"/>
    <col min="5381" max="5381" width="18" style="39" bestFit="1" customWidth="1"/>
    <col min="5382" max="5382" width="18" style="39" customWidth="1"/>
    <col min="5383" max="5383" width="17.42578125" style="39" customWidth="1"/>
    <col min="5384" max="5384" width="17.5703125" style="39" bestFit="1" customWidth="1"/>
    <col min="5385" max="5385" width="19.42578125" style="39" customWidth="1"/>
    <col min="5386" max="5386" width="15.85546875" style="39" customWidth="1"/>
    <col min="5387" max="5387" width="17.85546875" style="39" customWidth="1"/>
    <col min="5388" max="5388" width="22.140625" style="39" customWidth="1"/>
    <col min="5389" max="5389" width="15.42578125" style="39" bestFit="1" customWidth="1"/>
    <col min="5390" max="5390" width="18.42578125" style="39" customWidth="1"/>
    <col min="5391" max="5635" width="9.140625" style="39"/>
    <col min="5636" max="5636" width="5.42578125" style="39" customWidth="1"/>
    <col min="5637" max="5637" width="18" style="39" bestFit="1" customWidth="1"/>
    <col min="5638" max="5638" width="18" style="39" customWidth="1"/>
    <col min="5639" max="5639" width="17.42578125" style="39" customWidth="1"/>
    <col min="5640" max="5640" width="17.5703125" style="39" bestFit="1" customWidth="1"/>
    <col min="5641" max="5641" width="19.42578125" style="39" customWidth="1"/>
    <col min="5642" max="5642" width="15.85546875" style="39" customWidth="1"/>
    <col min="5643" max="5643" width="17.85546875" style="39" customWidth="1"/>
    <col min="5644" max="5644" width="22.140625" style="39" customWidth="1"/>
    <col min="5645" max="5645" width="15.42578125" style="39" bestFit="1" customWidth="1"/>
    <col min="5646" max="5646" width="18.42578125" style="39" customWidth="1"/>
    <col min="5647" max="5891" width="9.140625" style="39"/>
    <col min="5892" max="5892" width="5.42578125" style="39" customWidth="1"/>
    <col min="5893" max="5893" width="18" style="39" bestFit="1" customWidth="1"/>
    <col min="5894" max="5894" width="18" style="39" customWidth="1"/>
    <col min="5895" max="5895" width="17.42578125" style="39" customWidth="1"/>
    <col min="5896" max="5896" width="17.5703125" style="39" bestFit="1" customWidth="1"/>
    <col min="5897" max="5897" width="19.42578125" style="39" customWidth="1"/>
    <col min="5898" max="5898" width="15.85546875" style="39" customWidth="1"/>
    <col min="5899" max="5899" width="17.85546875" style="39" customWidth="1"/>
    <col min="5900" max="5900" width="22.140625" style="39" customWidth="1"/>
    <col min="5901" max="5901" width="15.42578125" style="39" bestFit="1" customWidth="1"/>
    <col min="5902" max="5902" width="18.42578125" style="39" customWidth="1"/>
    <col min="5903" max="6147" width="9.140625" style="39"/>
    <col min="6148" max="6148" width="5.42578125" style="39" customWidth="1"/>
    <col min="6149" max="6149" width="18" style="39" bestFit="1" customWidth="1"/>
    <col min="6150" max="6150" width="18" style="39" customWidth="1"/>
    <col min="6151" max="6151" width="17.42578125" style="39" customWidth="1"/>
    <col min="6152" max="6152" width="17.5703125" style="39" bestFit="1" customWidth="1"/>
    <col min="6153" max="6153" width="19.42578125" style="39" customWidth="1"/>
    <col min="6154" max="6154" width="15.85546875" style="39" customWidth="1"/>
    <col min="6155" max="6155" width="17.85546875" style="39" customWidth="1"/>
    <col min="6156" max="6156" width="22.140625" style="39" customWidth="1"/>
    <col min="6157" max="6157" width="15.42578125" style="39" bestFit="1" customWidth="1"/>
    <col min="6158" max="6158" width="18.42578125" style="39" customWidth="1"/>
    <col min="6159" max="6403" width="9.140625" style="39"/>
    <col min="6404" max="6404" width="5.42578125" style="39" customWidth="1"/>
    <col min="6405" max="6405" width="18" style="39" bestFit="1" customWidth="1"/>
    <col min="6406" max="6406" width="18" style="39" customWidth="1"/>
    <col min="6407" max="6407" width="17.42578125" style="39" customWidth="1"/>
    <col min="6408" max="6408" width="17.5703125" style="39" bestFit="1" customWidth="1"/>
    <col min="6409" max="6409" width="19.42578125" style="39" customWidth="1"/>
    <col min="6410" max="6410" width="15.85546875" style="39" customWidth="1"/>
    <col min="6411" max="6411" width="17.85546875" style="39" customWidth="1"/>
    <col min="6412" max="6412" width="22.140625" style="39" customWidth="1"/>
    <col min="6413" max="6413" width="15.42578125" style="39" bestFit="1" customWidth="1"/>
    <col min="6414" max="6414" width="18.42578125" style="39" customWidth="1"/>
    <col min="6415" max="6659" width="9.140625" style="39"/>
    <col min="6660" max="6660" width="5.42578125" style="39" customWidth="1"/>
    <col min="6661" max="6661" width="18" style="39" bestFit="1" customWidth="1"/>
    <col min="6662" max="6662" width="18" style="39" customWidth="1"/>
    <col min="6663" max="6663" width="17.42578125" style="39" customWidth="1"/>
    <col min="6664" max="6664" width="17.5703125" style="39" bestFit="1" customWidth="1"/>
    <col min="6665" max="6665" width="19.42578125" style="39" customWidth="1"/>
    <col min="6666" max="6666" width="15.85546875" style="39" customWidth="1"/>
    <col min="6667" max="6667" width="17.85546875" style="39" customWidth="1"/>
    <col min="6668" max="6668" width="22.140625" style="39" customWidth="1"/>
    <col min="6669" max="6669" width="15.42578125" style="39" bestFit="1" customWidth="1"/>
    <col min="6670" max="6670" width="18.42578125" style="39" customWidth="1"/>
    <col min="6671" max="6915" width="9.140625" style="39"/>
    <col min="6916" max="6916" width="5.42578125" style="39" customWidth="1"/>
    <col min="6917" max="6917" width="18" style="39" bestFit="1" customWidth="1"/>
    <col min="6918" max="6918" width="18" style="39" customWidth="1"/>
    <col min="6919" max="6919" width="17.42578125" style="39" customWidth="1"/>
    <col min="6920" max="6920" width="17.5703125" style="39" bestFit="1" customWidth="1"/>
    <col min="6921" max="6921" width="19.42578125" style="39" customWidth="1"/>
    <col min="6922" max="6922" width="15.85546875" style="39" customWidth="1"/>
    <col min="6923" max="6923" width="17.85546875" style="39" customWidth="1"/>
    <col min="6924" max="6924" width="22.140625" style="39" customWidth="1"/>
    <col min="6925" max="6925" width="15.42578125" style="39" bestFit="1" customWidth="1"/>
    <col min="6926" max="6926" width="18.42578125" style="39" customWidth="1"/>
    <col min="6927" max="7171" width="9.140625" style="39"/>
    <col min="7172" max="7172" width="5.42578125" style="39" customWidth="1"/>
    <col min="7173" max="7173" width="18" style="39" bestFit="1" customWidth="1"/>
    <col min="7174" max="7174" width="18" style="39" customWidth="1"/>
    <col min="7175" max="7175" width="17.42578125" style="39" customWidth="1"/>
    <col min="7176" max="7176" width="17.5703125" style="39" bestFit="1" customWidth="1"/>
    <col min="7177" max="7177" width="19.42578125" style="39" customWidth="1"/>
    <col min="7178" max="7178" width="15.85546875" style="39" customWidth="1"/>
    <col min="7179" max="7179" width="17.85546875" style="39" customWidth="1"/>
    <col min="7180" max="7180" width="22.140625" style="39" customWidth="1"/>
    <col min="7181" max="7181" width="15.42578125" style="39" bestFit="1" customWidth="1"/>
    <col min="7182" max="7182" width="18.42578125" style="39" customWidth="1"/>
    <col min="7183" max="7427" width="9.140625" style="39"/>
    <col min="7428" max="7428" width="5.42578125" style="39" customWidth="1"/>
    <col min="7429" max="7429" width="18" style="39" bestFit="1" customWidth="1"/>
    <col min="7430" max="7430" width="18" style="39" customWidth="1"/>
    <col min="7431" max="7431" width="17.42578125" style="39" customWidth="1"/>
    <col min="7432" max="7432" width="17.5703125" style="39" bestFit="1" customWidth="1"/>
    <col min="7433" max="7433" width="19.42578125" style="39" customWidth="1"/>
    <col min="7434" max="7434" width="15.85546875" style="39" customWidth="1"/>
    <col min="7435" max="7435" width="17.85546875" style="39" customWidth="1"/>
    <col min="7436" max="7436" width="22.140625" style="39" customWidth="1"/>
    <col min="7437" max="7437" width="15.42578125" style="39" bestFit="1" customWidth="1"/>
    <col min="7438" max="7438" width="18.42578125" style="39" customWidth="1"/>
    <col min="7439" max="7683" width="9.140625" style="39"/>
    <col min="7684" max="7684" width="5.42578125" style="39" customWidth="1"/>
    <col min="7685" max="7685" width="18" style="39" bestFit="1" customWidth="1"/>
    <col min="7686" max="7686" width="18" style="39" customWidth="1"/>
    <col min="7687" max="7687" width="17.42578125" style="39" customWidth="1"/>
    <col min="7688" max="7688" width="17.5703125" style="39" bestFit="1" customWidth="1"/>
    <col min="7689" max="7689" width="19.42578125" style="39" customWidth="1"/>
    <col min="7690" max="7690" width="15.85546875" style="39" customWidth="1"/>
    <col min="7691" max="7691" width="17.85546875" style="39" customWidth="1"/>
    <col min="7692" max="7692" width="22.140625" style="39" customWidth="1"/>
    <col min="7693" max="7693" width="15.42578125" style="39" bestFit="1" customWidth="1"/>
    <col min="7694" max="7694" width="18.42578125" style="39" customWidth="1"/>
    <col min="7695" max="7939" width="9.140625" style="39"/>
    <col min="7940" max="7940" width="5.42578125" style="39" customWidth="1"/>
    <col min="7941" max="7941" width="18" style="39" bestFit="1" customWidth="1"/>
    <col min="7942" max="7942" width="18" style="39" customWidth="1"/>
    <col min="7943" max="7943" width="17.42578125" style="39" customWidth="1"/>
    <col min="7944" max="7944" width="17.5703125" style="39" bestFit="1" customWidth="1"/>
    <col min="7945" max="7945" width="19.42578125" style="39" customWidth="1"/>
    <col min="7946" max="7946" width="15.85546875" style="39" customWidth="1"/>
    <col min="7947" max="7947" width="17.85546875" style="39" customWidth="1"/>
    <col min="7948" max="7948" width="22.140625" style="39" customWidth="1"/>
    <col min="7949" max="7949" width="15.42578125" style="39" bestFit="1" customWidth="1"/>
    <col min="7950" max="7950" width="18.42578125" style="39" customWidth="1"/>
    <col min="7951" max="8195" width="9.140625" style="39"/>
    <col min="8196" max="8196" width="5.42578125" style="39" customWidth="1"/>
    <col min="8197" max="8197" width="18" style="39" bestFit="1" customWidth="1"/>
    <col min="8198" max="8198" width="18" style="39" customWidth="1"/>
    <col min="8199" max="8199" width="17.42578125" style="39" customWidth="1"/>
    <col min="8200" max="8200" width="17.5703125" style="39" bestFit="1" customWidth="1"/>
    <col min="8201" max="8201" width="19.42578125" style="39" customWidth="1"/>
    <col min="8202" max="8202" width="15.85546875" style="39" customWidth="1"/>
    <col min="8203" max="8203" width="17.85546875" style="39" customWidth="1"/>
    <col min="8204" max="8204" width="22.140625" style="39" customWidth="1"/>
    <col min="8205" max="8205" width="15.42578125" style="39" bestFit="1" customWidth="1"/>
    <col min="8206" max="8206" width="18.42578125" style="39" customWidth="1"/>
    <col min="8207" max="8451" width="9.140625" style="39"/>
    <col min="8452" max="8452" width="5.42578125" style="39" customWidth="1"/>
    <col min="8453" max="8453" width="18" style="39" bestFit="1" customWidth="1"/>
    <col min="8454" max="8454" width="18" style="39" customWidth="1"/>
    <col min="8455" max="8455" width="17.42578125" style="39" customWidth="1"/>
    <col min="8456" max="8456" width="17.5703125" style="39" bestFit="1" customWidth="1"/>
    <col min="8457" max="8457" width="19.42578125" style="39" customWidth="1"/>
    <col min="8458" max="8458" width="15.85546875" style="39" customWidth="1"/>
    <col min="8459" max="8459" width="17.85546875" style="39" customWidth="1"/>
    <col min="8460" max="8460" width="22.140625" style="39" customWidth="1"/>
    <col min="8461" max="8461" width="15.42578125" style="39" bestFit="1" customWidth="1"/>
    <col min="8462" max="8462" width="18.42578125" style="39" customWidth="1"/>
    <col min="8463" max="8707" width="9.140625" style="39"/>
    <col min="8708" max="8708" width="5.42578125" style="39" customWidth="1"/>
    <col min="8709" max="8709" width="18" style="39" bestFit="1" customWidth="1"/>
    <col min="8710" max="8710" width="18" style="39" customWidth="1"/>
    <col min="8711" max="8711" width="17.42578125" style="39" customWidth="1"/>
    <col min="8712" max="8712" width="17.5703125" style="39" bestFit="1" customWidth="1"/>
    <col min="8713" max="8713" width="19.42578125" style="39" customWidth="1"/>
    <col min="8714" max="8714" width="15.85546875" style="39" customWidth="1"/>
    <col min="8715" max="8715" width="17.85546875" style="39" customWidth="1"/>
    <col min="8716" max="8716" width="22.140625" style="39" customWidth="1"/>
    <col min="8717" max="8717" width="15.42578125" style="39" bestFit="1" customWidth="1"/>
    <col min="8718" max="8718" width="18.42578125" style="39" customWidth="1"/>
    <col min="8719" max="8963" width="9.140625" style="39"/>
    <col min="8964" max="8964" width="5.42578125" style="39" customWidth="1"/>
    <col min="8965" max="8965" width="18" style="39" bestFit="1" customWidth="1"/>
    <col min="8966" max="8966" width="18" style="39" customWidth="1"/>
    <col min="8967" max="8967" width="17.42578125" style="39" customWidth="1"/>
    <col min="8968" max="8968" width="17.5703125" style="39" bestFit="1" customWidth="1"/>
    <col min="8969" max="8969" width="19.42578125" style="39" customWidth="1"/>
    <col min="8970" max="8970" width="15.85546875" style="39" customWidth="1"/>
    <col min="8971" max="8971" width="17.85546875" style="39" customWidth="1"/>
    <col min="8972" max="8972" width="22.140625" style="39" customWidth="1"/>
    <col min="8973" max="8973" width="15.42578125" style="39" bestFit="1" customWidth="1"/>
    <col min="8974" max="8974" width="18.42578125" style="39" customWidth="1"/>
    <col min="8975" max="9219" width="9.140625" style="39"/>
    <col min="9220" max="9220" width="5.42578125" style="39" customWidth="1"/>
    <col min="9221" max="9221" width="18" style="39" bestFit="1" customWidth="1"/>
    <col min="9222" max="9222" width="18" style="39" customWidth="1"/>
    <col min="9223" max="9223" width="17.42578125" style="39" customWidth="1"/>
    <col min="9224" max="9224" width="17.5703125" style="39" bestFit="1" customWidth="1"/>
    <col min="9225" max="9225" width="19.42578125" style="39" customWidth="1"/>
    <col min="9226" max="9226" width="15.85546875" style="39" customWidth="1"/>
    <col min="9227" max="9227" width="17.85546875" style="39" customWidth="1"/>
    <col min="9228" max="9228" width="22.140625" style="39" customWidth="1"/>
    <col min="9229" max="9229" width="15.42578125" style="39" bestFit="1" customWidth="1"/>
    <col min="9230" max="9230" width="18.42578125" style="39" customWidth="1"/>
    <col min="9231" max="9475" width="9.140625" style="39"/>
    <col min="9476" max="9476" width="5.42578125" style="39" customWidth="1"/>
    <col min="9477" max="9477" width="18" style="39" bestFit="1" customWidth="1"/>
    <col min="9478" max="9478" width="18" style="39" customWidth="1"/>
    <col min="9479" max="9479" width="17.42578125" style="39" customWidth="1"/>
    <col min="9480" max="9480" width="17.5703125" style="39" bestFit="1" customWidth="1"/>
    <col min="9481" max="9481" width="19.42578125" style="39" customWidth="1"/>
    <col min="9482" max="9482" width="15.85546875" style="39" customWidth="1"/>
    <col min="9483" max="9483" width="17.85546875" style="39" customWidth="1"/>
    <col min="9484" max="9484" width="22.140625" style="39" customWidth="1"/>
    <col min="9485" max="9485" width="15.42578125" style="39" bestFit="1" customWidth="1"/>
    <col min="9486" max="9486" width="18.42578125" style="39" customWidth="1"/>
    <col min="9487" max="9731" width="9.140625" style="39"/>
    <col min="9732" max="9732" width="5.42578125" style="39" customWidth="1"/>
    <col min="9733" max="9733" width="18" style="39" bestFit="1" customWidth="1"/>
    <col min="9734" max="9734" width="18" style="39" customWidth="1"/>
    <col min="9735" max="9735" width="17.42578125" style="39" customWidth="1"/>
    <col min="9736" max="9736" width="17.5703125" style="39" bestFit="1" customWidth="1"/>
    <col min="9737" max="9737" width="19.42578125" style="39" customWidth="1"/>
    <col min="9738" max="9738" width="15.85546875" style="39" customWidth="1"/>
    <col min="9739" max="9739" width="17.85546875" style="39" customWidth="1"/>
    <col min="9740" max="9740" width="22.140625" style="39" customWidth="1"/>
    <col min="9741" max="9741" width="15.42578125" style="39" bestFit="1" customWidth="1"/>
    <col min="9742" max="9742" width="18.42578125" style="39" customWidth="1"/>
    <col min="9743" max="9987" width="9.140625" style="39"/>
    <col min="9988" max="9988" width="5.42578125" style="39" customWidth="1"/>
    <col min="9989" max="9989" width="18" style="39" bestFit="1" customWidth="1"/>
    <col min="9990" max="9990" width="18" style="39" customWidth="1"/>
    <col min="9991" max="9991" width="17.42578125" style="39" customWidth="1"/>
    <col min="9992" max="9992" width="17.5703125" style="39" bestFit="1" customWidth="1"/>
    <col min="9993" max="9993" width="19.42578125" style="39" customWidth="1"/>
    <col min="9994" max="9994" width="15.85546875" style="39" customWidth="1"/>
    <col min="9995" max="9995" width="17.85546875" style="39" customWidth="1"/>
    <col min="9996" max="9996" width="22.140625" style="39" customWidth="1"/>
    <col min="9997" max="9997" width="15.42578125" style="39" bestFit="1" customWidth="1"/>
    <col min="9998" max="9998" width="18.42578125" style="39" customWidth="1"/>
    <col min="9999" max="10243" width="9.140625" style="39"/>
    <col min="10244" max="10244" width="5.42578125" style="39" customWidth="1"/>
    <col min="10245" max="10245" width="18" style="39" bestFit="1" customWidth="1"/>
    <col min="10246" max="10246" width="18" style="39" customWidth="1"/>
    <col min="10247" max="10247" width="17.42578125" style="39" customWidth="1"/>
    <col min="10248" max="10248" width="17.5703125" style="39" bestFit="1" customWidth="1"/>
    <col min="10249" max="10249" width="19.42578125" style="39" customWidth="1"/>
    <col min="10250" max="10250" width="15.85546875" style="39" customWidth="1"/>
    <col min="10251" max="10251" width="17.85546875" style="39" customWidth="1"/>
    <col min="10252" max="10252" width="22.140625" style="39" customWidth="1"/>
    <col min="10253" max="10253" width="15.42578125" style="39" bestFit="1" customWidth="1"/>
    <col min="10254" max="10254" width="18.42578125" style="39" customWidth="1"/>
    <col min="10255" max="10499" width="9.140625" style="39"/>
    <col min="10500" max="10500" width="5.42578125" style="39" customWidth="1"/>
    <col min="10501" max="10501" width="18" style="39" bestFit="1" customWidth="1"/>
    <col min="10502" max="10502" width="18" style="39" customWidth="1"/>
    <col min="10503" max="10503" width="17.42578125" style="39" customWidth="1"/>
    <col min="10504" max="10504" width="17.5703125" style="39" bestFit="1" customWidth="1"/>
    <col min="10505" max="10505" width="19.42578125" style="39" customWidth="1"/>
    <col min="10506" max="10506" width="15.85546875" style="39" customWidth="1"/>
    <col min="10507" max="10507" width="17.85546875" style="39" customWidth="1"/>
    <col min="10508" max="10508" width="22.140625" style="39" customWidth="1"/>
    <col min="10509" max="10509" width="15.42578125" style="39" bestFit="1" customWidth="1"/>
    <col min="10510" max="10510" width="18.42578125" style="39" customWidth="1"/>
    <col min="10511" max="10755" width="9.140625" style="39"/>
    <col min="10756" max="10756" width="5.42578125" style="39" customWidth="1"/>
    <col min="10757" max="10757" width="18" style="39" bestFit="1" customWidth="1"/>
    <col min="10758" max="10758" width="18" style="39" customWidth="1"/>
    <col min="10759" max="10759" width="17.42578125" style="39" customWidth="1"/>
    <col min="10760" max="10760" width="17.5703125" style="39" bestFit="1" customWidth="1"/>
    <col min="10761" max="10761" width="19.42578125" style="39" customWidth="1"/>
    <col min="10762" max="10762" width="15.85546875" style="39" customWidth="1"/>
    <col min="10763" max="10763" width="17.85546875" style="39" customWidth="1"/>
    <col min="10764" max="10764" width="22.140625" style="39" customWidth="1"/>
    <col min="10765" max="10765" width="15.42578125" style="39" bestFit="1" customWidth="1"/>
    <col min="10766" max="10766" width="18.42578125" style="39" customWidth="1"/>
    <col min="10767" max="11011" width="9.140625" style="39"/>
    <col min="11012" max="11012" width="5.42578125" style="39" customWidth="1"/>
    <col min="11013" max="11013" width="18" style="39" bestFit="1" customWidth="1"/>
    <col min="11014" max="11014" width="18" style="39" customWidth="1"/>
    <col min="11015" max="11015" width="17.42578125" style="39" customWidth="1"/>
    <col min="11016" max="11016" width="17.5703125" style="39" bestFit="1" customWidth="1"/>
    <col min="11017" max="11017" width="19.42578125" style="39" customWidth="1"/>
    <col min="11018" max="11018" width="15.85546875" style="39" customWidth="1"/>
    <col min="11019" max="11019" width="17.85546875" style="39" customWidth="1"/>
    <col min="11020" max="11020" width="22.140625" style="39" customWidth="1"/>
    <col min="11021" max="11021" width="15.42578125" style="39" bestFit="1" customWidth="1"/>
    <col min="11022" max="11022" width="18.42578125" style="39" customWidth="1"/>
    <col min="11023" max="11267" width="9.140625" style="39"/>
    <col min="11268" max="11268" width="5.42578125" style="39" customWidth="1"/>
    <col min="11269" max="11269" width="18" style="39" bestFit="1" customWidth="1"/>
    <col min="11270" max="11270" width="18" style="39" customWidth="1"/>
    <col min="11271" max="11271" width="17.42578125" style="39" customWidth="1"/>
    <col min="11272" max="11272" width="17.5703125" style="39" bestFit="1" customWidth="1"/>
    <col min="11273" max="11273" width="19.42578125" style="39" customWidth="1"/>
    <col min="11274" max="11274" width="15.85546875" style="39" customWidth="1"/>
    <col min="11275" max="11275" width="17.85546875" style="39" customWidth="1"/>
    <col min="11276" max="11276" width="22.140625" style="39" customWidth="1"/>
    <col min="11277" max="11277" width="15.42578125" style="39" bestFit="1" customWidth="1"/>
    <col min="11278" max="11278" width="18.42578125" style="39" customWidth="1"/>
    <col min="11279" max="11523" width="9.140625" style="39"/>
    <col min="11524" max="11524" width="5.42578125" style="39" customWidth="1"/>
    <col min="11525" max="11525" width="18" style="39" bestFit="1" customWidth="1"/>
    <col min="11526" max="11526" width="18" style="39" customWidth="1"/>
    <col min="11527" max="11527" width="17.42578125" style="39" customWidth="1"/>
    <col min="11528" max="11528" width="17.5703125" style="39" bestFit="1" customWidth="1"/>
    <col min="11529" max="11529" width="19.42578125" style="39" customWidth="1"/>
    <col min="11530" max="11530" width="15.85546875" style="39" customWidth="1"/>
    <col min="11531" max="11531" width="17.85546875" style="39" customWidth="1"/>
    <col min="11532" max="11532" width="22.140625" style="39" customWidth="1"/>
    <col min="11533" max="11533" width="15.42578125" style="39" bestFit="1" customWidth="1"/>
    <col min="11534" max="11534" width="18.42578125" style="39" customWidth="1"/>
    <col min="11535" max="11779" width="9.140625" style="39"/>
    <col min="11780" max="11780" width="5.42578125" style="39" customWidth="1"/>
    <col min="11781" max="11781" width="18" style="39" bestFit="1" customWidth="1"/>
    <col min="11782" max="11782" width="18" style="39" customWidth="1"/>
    <col min="11783" max="11783" width="17.42578125" style="39" customWidth="1"/>
    <col min="11784" max="11784" width="17.5703125" style="39" bestFit="1" customWidth="1"/>
    <col min="11785" max="11785" width="19.42578125" style="39" customWidth="1"/>
    <col min="11786" max="11786" width="15.85546875" style="39" customWidth="1"/>
    <col min="11787" max="11787" width="17.85546875" style="39" customWidth="1"/>
    <col min="11788" max="11788" width="22.140625" style="39" customWidth="1"/>
    <col min="11789" max="11789" width="15.42578125" style="39" bestFit="1" customWidth="1"/>
    <col min="11790" max="11790" width="18.42578125" style="39" customWidth="1"/>
    <col min="11791" max="12035" width="9.140625" style="39"/>
    <col min="12036" max="12036" width="5.42578125" style="39" customWidth="1"/>
    <col min="12037" max="12037" width="18" style="39" bestFit="1" customWidth="1"/>
    <col min="12038" max="12038" width="18" style="39" customWidth="1"/>
    <col min="12039" max="12039" width="17.42578125" style="39" customWidth="1"/>
    <col min="12040" max="12040" width="17.5703125" style="39" bestFit="1" customWidth="1"/>
    <col min="12041" max="12041" width="19.42578125" style="39" customWidth="1"/>
    <col min="12042" max="12042" width="15.85546875" style="39" customWidth="1"/>
    <col min="12043" max="12043" width="17.85546875" style="39" customWidth="1"/>
    <col min="12044" max="12044" width="22.140625" style="39" customWidth="1"/>
    <col min="12045" max="12045" width="15.42578125" style="39" bestFit="1" customWidth="1"/>
    <col min="12046" max="12046" width="18.42578125" style="39" customWidth="1"/>
    <col min="12047" max="12291" width="9.140625" style="39"/>
    <col min="12292" max="12292" width="5.42578125" style="39" customWidth="1"/>
    <col min="12293" max="12293" width="18" style="39" bestFit="1" customWidth="1"/>
    <col min="12294" max="12294" width="18" style="39" customWidth="1"/>
    <col min="12295" max="12295" width="17.42578125" style="39" customWidth="1"/>
    <col min="12296" max="12296" width="17.5703125" style="39" bestFit="1" customWidth="1"/>
    <col min="12297" max="12297" width="19.42578125" style="39" customWidth="1"/>
    <col min="12298" max="12298" width="15.85546875" style="39" customWidth="1"/>
    <col min="12299" max="12299" width="17.85546875" style="39" customWidth="1"/>
    <col min="12300" max="12300" width="22.140625" style="39" customWidth="1"/>
    <col min="12301" max="12301" width="15.42578125" style="39" bestFit="1" customWidth="1"/>
    <col min="12302" max="12302" width="18.42578125" style="39" customWidth="1"/>
    <col min="12303" max="12547" width="9.140625" style="39"/>
    <col min="12548" max="12548" width="5.42578125" style="39" customWidth="1"/>
    <col min="12549" max="12549" width="18" style="39" bestFit="1" customWidth="1"/>
    <col min="12550" max="12550" width="18" style="39" customWidth="1"/>
    <col min="12551" max="12551" width="17.42578125" style="39" customWidth="1"/>
    <col min="12552" max="12552" width="17.5703125" style="39" bestFit="1" customWidth="1"/>
    <col min="12553" max="12553" width="19.42578125" style="39" customWidth="1"/>
    <col min="12554" max="12554" width="15.85546875" style="39" customWidth="1"/>
    <col min="12555" max="12555" width="17.85546875" style="39" customWidth="1"/>
    <col min="12556" max="12556" width="22.140625" style="39" customWidth="1"/>
    <col min="12557" max="12557" width="15.42578125" style="39" bestFit="1" customWidth="1"/>
    <col min="12558" max="12558" width="18.42578125" style="39" customWidth="1"/>
    <col min="12559" max="12803" width="9.140625" style="39"/>
    <col min="12804" max="12804" width="5.42578125" style="39" customWidth="1"/>
    <col min="12805" max="12805" width="18" style="39" bestFit="1" customWidth="1"/>
    <col min="12806" max="12806" width="18" style="39" customWidth="1"/>
    <col min="12807" max="12807" width="17.42578125" style="39" customWidth="1"/>
    <col min="12808" max="12808" width="17.5703125" style="39" bestFit="1" customWidth="1"/>
    <col min="12809" max="12809" width="19.42578125" style="39" customWidth="1"/>
    <col min="12810" max="12810" width="15.85546875" style="39" customWidth="1"/>
    <col min="12811" max="12811" width="17.85546875" style="39" customWidth="1"/>
    <col min="12812" max="12812" width="22.140625" style="39" customWidth="1"/>
    <col min="12813" max="12813" width="15.42578125" style="39" bestFit="1" customWidth="1"/>
    <col min="12814" max="12814" width="18.42578125" style="39" customWidth="1"/>
    <col min="12815" max="13059" width="9.140625" style="39"/>
    <col min="13060" max="13060" width="5.42578125" style="39" customWidth="1"/>
    <col min="13061" max="13061" width="18" style="39" bestFit="1" customWidth="1"/>
    <col min="13062" max="13062" width="18" style="39" customWidth="1"/>
    <col min="13063" max="13063" width="17.42578125" style="39" customWidth="1"/>
    <col min="13064" max="13064" width="17.5703125" style="39" bestFit="1" customWidth="1"/>
    <col min="13065" max="13065" width="19.42578125" style="39" customWidth="1"/>
    <col min="13066" max="13066" width="15.85546875" style="39" customWidth="1"/>
    <col min="13067" max="13067" width="17.85546875" style="39" customWidth="1"/>
    <col min="13068" max="13068" width="22.140625" style="39" customWidth="1"/>
    <col min="13069" max="13069" width="15.42578125" style="39" bestFit="1" customWidth="1"/>
    <col min="13070" max="13070" width="18.42578125" style="39" customWidth="1"/>
    <col min="13071" max="13315" width="9.140625" style="39"/>
    <col min="13316" max="13316" width="5.42578125" style="39" customWidth="1"/>
    <col min="13317" max="13317" width="18" style="39" bestFit="1" customWidth="1"/>
    <col min="13318" max="13318" width="18" style="39" customWidth="1"/>
    <col min="13319" max="13319" width="17.42578125" style="39" customWidth="1"/>
    <col min="13320" max="13320" width="17.5703125" style="39" bestFit="1" customWidth="1"/>
    <col min="13321" max="13321" width="19.42578125" style="39" customWidth="1"/>
    <col min="13322" max="13322" width="15.85546875" style="39" customWidth="1"/>
    <col min="13323" max="13323" width="17.85546875" style="39" customWidth="1"/>
    <col min="13324" max="13324" width="22.140625" style="39" customWidth="1"/>
    <col min="13325" max="13325" width="15.42578125" style="39" bestFit="1" customWidth="1"/>
    <col min="13326" max="13326" width="18.42578125" style="39" customWidth="1"/>
    <col min="13327" max="13571" width="9.140625" style="39"/>
    <col min="13572" max="13572" width="5.42578125" style="39" customWidth="1"/>
    <col min="13573" max="13573" width="18" style="39" bestFit="1" customWidth="1"/>
    <col min="13574" max="13574" width="18" style="39" customWidth="1"/>
    <col min="13575" max="13575" width="17.42578125" style="39" customWidth="1"/>
    <col min="13576" max="13576" width="17.5703125" style="39" bestFit="1" customWidth="1"/>
    <col min="13577" max="13577" width="19.42578125" style="39" customWidth="1"/>
    <col min="13578" max="13578" width="15.85546875" style="39" customWidth="1"/>
    <col min="13579" max="13579" width="17.85546875" style="39" customWidth="1"/>
    <col min="13580" max="13580" width="22.140625" style="39" customWidth="1"/>
    <col min="13581" max="13581" width="15.42578125" style="39" bestFit="1" customWidth="1"/>
    <col min="13582" max="13582" width="18.42578125" style="39" customWidth="1"/>
    <col min="13583" max="13827" width="9.140625" style="39"/>
    <col min="13828" max="13828" width="5.42578125" style="39" customWidth="1"/>
    <col min="13829" max="13829" width="18" style="39" bestFit="1" customWidth="1"/>
    <col min="13830" max="13830" width="18" style="39" customWidth="1"/>
    <col min="13831" max="13831" width="17.42578125" style="39" customWidth="1"/>
    <col min="13832" max="13832" width="17.5703125" style="39" bestFit="1" customWidth="1"/>
    <col min="13833" max="13833" width="19.42578125" style="39" customWidth="1"/>
    <col min="13834" max="13834" width="15.85546875" style="39" customWidth="1"/>
    <col min="13835" max="13835" width="17.85546875" style="39" customWidth="1"/>
    <col min="13836" max="13836" width="22.140625" style="39" customWidth="1"/>
    <col min="13837" max="13837" width="15.42578125" style="39" bestFit="1" customWidth="1"/>
    <col min="13838" max="13838" width="18.42578125" style="39" customWidth="1"/>
    <col min="13839" max="14083" width="9.140625" style="39"/>
    <col min="14084" max="14084" width="5.42578125" style="39" customWidth="1"/>
    <col min="14085" max="14085" width="18" style="39" bestFit="1" customWidth="1"/>
    <col min="14086" max="14086" width="18" style="39" customWidth="1"/>
    <col min="14087" max="14087" width="17.42578125" style="39" customWidth="1"/>
    <col min="14088" max="14088" width="17.5703125" style="39" bestFit="1" customWidth="1"/>
    <col min="14089" max="14089" width="19.42578125" style="39" customWidth="1"/>
    <col min="14090" max="14090" width="15.85546875" style="39" customWidth="1"/>
    <col min="14091" max="14091" width="17.85546875" style="39" customWidth="1"/>
    <col min="14092" max="14092" width="22.140625" style="39" customWidth="1"/>
    <col min="14093" max="14093" width="15.42578125" style="39" bestFit="1" customWidth="1"/>
    <col min="14094" max="14094" width="18.42578125" style="39" customWidth="1"/>
    <col min="14095" max="14339" width="9.140625" style="39"/>
    <col min="14340" max="14340" width="5.42578125" style="39" customWidth="1"/>
    <col min="14341" max="14341" width="18" style="39" bestFit="1" customWidth="1"/>
    <col min="14342" max="14342" width="18" style="39" customWidth="1"/>
    <col min="14343" max="14343" width="17.42578125" style="39" customWidth="1"/>
    <col min="14344" max="14344" width="17.5703125" style="39" bestFit="1" customWidth="1"/>
    <col min="14345" max="14345" width="19.42578125" style="39" customWidth="1"/>
    <col min="14346" max="14346" width="15.85546875" style="39" customWidth="1"/>
    <col min="14347" max="14347" width="17.85546875" style="39" customWidth="1"/>
    <col min="14348" max="14348" width="22.140625" style="39" customWidth="1"/>
    <col min="14349" max="14349" width="15.42578125" style="39" bestFit="1" customWidth="1"/>
    <col min="14350" max="14350" width="18.42578125" style="39" customWidth="1"/>
    <col min="14351" max="14595" width="9.140625" style="39"/>
    <col min="14596" max="14596" width="5.42578125" style="39" customWidth="1"/>
    <col min="14597" max="14597" width="18" style="39" bestFit="1" customWidth="1"/>
    <col min="14598" max="14598" width="18" style="39" customWidth="1"/>
    <col min="14599" max="14599" width="17.42578125" style="39" customWidth="1"/>
    <col min="14600" max="14600" width="17.5703125" style="39" bestFit="1" customWidth="1"/>
    <col min="14601" max="14601" width="19.42578125" style="39" customWidth="1"/>
    <col min="14602" max="14602" width="15.85546875" style="39" customWidth="1"/>
    <col min="14603" max="14603" width="17.85546875" style="39" customWidth="1"/>
    <col min="14604" max="14604" width="22.140625" style="39" customWidth="1"/>
    <col min="14605" max="14605" width="15.42578125" style="39" bestFit="1" customWidth="1"/>
    <col min="14606" max="14606" width="18.42578125" style="39" customWidth="1"/>
    <col min="14607" max="14851" width="9.140625" style="39"/>
    <col min="14852" max="14852" width="5.42578125" style="39" customWidth="1"/>
    <col min="14853" max="14853" width="18" style="39" bestFit="1" customWidth="1"/>
    <col min="14854" max="14854" width="18" style="39" customWidth="1"/>
    <col min="14855" max="14855" width="17.42578125" style="39" customWidth="1"/>
    <col min="14856" max="14856" width="17.5703125" style="39" bestFit="1" customWidth="1"/>
    <col min="14857" max="14857" width="19.42578125" style="39" customWidth="1"/>
    <col min="14858" max="14858" width="15.85546875" style="39" customWidth="1"/>
    <col min="14859" max="14859" width="17.85546875" style="39" customWidth="1"/>
    <col min="14860" max="14860" width="22.140625" style="39" customWidth="1"/>
    <col min="14861" max="14861" width="15.42578125" style="39" bestFit="1" customWidth="1"/>
    <col min="14862" max="14862" width="18.42578125" style="39" customWidth="1"/>
    <col min="14863" max="15107" width="9.140625" style="39"/>
    <col min="15108" max="15108" width="5.42578125" style="39" customWidth="1"/>
    <col min="15109" max="15109" width="18" style="39" bestFit="1" customWidth="1"/>
    <col min="15110" max="15110" width="18" style="39" customWidth="1"/>
    <col min="15111" max="15111" width="17.42578125" style="39" customWidth="1"/>
    <col min="15112" max="15112" width="17.5703125" style="39" bestFit="1" customWidth="1"/>
    <col min="15113" max="15113" width="19.42578125" style="39" customWidth="1"/>
    <col min="15114" max="15114" width="15.85546875" style="39" customWidth="1"/>
    <col min="15115" max="15115" width="17.85546875" style="39" customWidth="1"/>
    <col min="15116" max="15116" width="22.140625" style="39" customWidth="1"/>
    <col min="15117" max="15117" width="15.42578125" style="39" bestFit="1" customWidth="1"/>
    <col min="15118" max="15118" width="18.42578125" style="39" customWidth="1"/>
    <col min="15119" max="15363" width="9.140625" style="39"/>
    <col min="15364" max="15364" width="5.42578125" style="39" customWidth="1"/>
    <col min="15365" max="15365" width="18" style="39" bestFit="1" customWidth="1"/>
    <col min="15366" max="15366" width="18" style="39" customWidth="1"/>
    <col min="15367" max="15367" width="17.42578125" style="39" customWidth="1"/>
    <col min="15368" max="15368" width="17.5703125" style="39" bestFit="1" customWidth="1"/>
    <col min="15369" max="15369" width="19.42578125" style="39" customWidth="1"/>
    <col min="15370" max="15370" width="15.85546875" style="39" customWidth="1"/>
    <col min="15371" max="15371" width="17.85546875" style="39" customWidth="1"/>
    <col min="15372" max="15372" width="22.140625" style="39" customWidth="1"/>
    <col min="15373" max="15373" width="15.42578125" style="39" bestFit="1" customWidth="1"/>
    <col min="15374" max="15374" width="18.42578125" style="39" customWidth="1"/>
    <col min="15375" max="15619" width="9.140625" style="39"/>
    <col min="15620" max="15620" width="5.42578125" style="39" customWidth="1"/>
    <col min="15621" max="15621" width="18" style="39" bestFit="1" customWidth="1"/>
    <col min="15622" max="15622" width="18" style="39" customWidth="1"/>
    <col min="15623" max="15623" width="17.42578125" style="39" customWidth="1"/>
    <col min="15624" max="15624" width="17.5703125" style="39" bestFit="1" customWidth="1"/>
    <col min="15625" max="15625" width="19.42578125" style="39" customWidth="1"/>
    <col min="15626" max="15626" width="15.85546875" style="39" customWidth="1"/>
    <col min="15627" max="15627" width="17.85546875" style="39" customWidth="1"/>
    <col min="15628" max="15628" width="22.140625" style="39" customWidth="1"/>
    <col min="15629" max="15629" width="15.42578125" style="39" bestFit="1" customWidth="1"/>
    <col min="15630" max="15630" width="18.42578125" style="39" customWidth="1"/>
    <col min="15631" max="15875" width="9.140625" style="39"/>
    <col min="15876" max="15876" width="5.42578125" style="39" customWidth="1"/>
    <col min="15877" max="15877" width="18" style="39" bestFit="1" customWidth="1"/>
    <col min="15878" max="15878" width="18" style="39" customWidth="1"/>
    <col min="15879" max="15879" width="17.42578125" style="39" customWidth="1"/>
    <col min="15880" max="15880" width="17.5703125" style="39" bestFit="1" customWidth="1"/>
    <col min="15881" max="15881" width="19.42578125" style="39" customWidth="1"/>
    <col min="15882" max="15882" width="15.85546875" style="39" customWidth="1"/>
    <col min="15883" max="15883" width="17.85546875" style="39" customWidth="1"/>
    <col min="15884" max="15884" width="22.140625" style="39" customWidth="1"/>
    <col min="15885" max="15885" width="15.42578125" style="39" bestFit="1" customWidth="1"/>
    <col min="15886" max="15886" width="18.42578125" style="39" customWidth="1"/>
    <col min="15887" max="16131" width="9.140625" style="39"/>
    <col min="16132" max="16132" width="5.42578125" style="39" customWidth="1"/>
    <col min="16133" max="16133" width="18" style="39" bestFit="1" customWidth="1"/>
    <col min="16134" max="16134" width="18" style="39" customWidth="1"/>
    <col min="16135" max="16135" width="17.42578125" style="39" customWidth="1"/>
    <col min="16136" max="16136" width="17.5703125" style="39" bestFit="1" customWidth="1"/>
    <col min="16137" max="16137" width="19.42578125" style="39" customWidth="1"/>
    <col min="16138" max="16138" width="15.85546875" style="39" customWidth="1"/>
    <col min="16139" max="16139" width="17.85546875" style="39" customWidth="1"/>
    <col min="16140" max="16140" width="22.140625" style="39" customWidth="1"/>
    <col min="16141" max="16141" width="15.42578125" style="39" bestFit="1" customWidth="1"/>
    <col min="16142" max="16142" width="18.42578125" style="39" customWidth="1"/>
    <col min="16143" max="16384" width="9.140625" style="39"/>
  </cols>
  <sheetData>
    <row r="1" spans="1:13" x14ac:dyDescent="0.25">
      <c r="M1" s="177" t="s">
        <v>667</v>
      </c>
    </row>
    <row r="2" spans="1:13" ht="20.25" x14ac:dyDescent="0.3">
      <c r="B2" s="660" t="s">
        <v>683</v>
      </c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</row>
    <row r="3" spans="1:13" ht="6.75" customHeight="1" x14ac:dyDescent="0.3">
      <c r="B3" s="26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ht="7.5" customHeight="1" x14ac:dyDescent="0.3">
      <c r="B4" s="26" t="s">
        <v>676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3" ht="4.5" customHeight="1" x14ac:dyDescent="0.25">
      <c r="B5" s="20" t="s">
        <v>672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ht="16.5" thickBot="1" x14ac:dyDescent="0.3">
      <c r="B6" s="675" t="s">
        <v>254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</row>
    <row r="7" spans="1:13" ht="20.25" customHeight="1" thickBot="1" x14ac:dyDescent="0.3">
      <c r="A7" s="46"/>
      <c r="B7" s="693" t="s">
        <v>249</v>
      </c>
      <c r="C7" s="683" t="s">
        <v>226</v>
      </c>
      <c r="D7" s="679"/>
      <c r="E7" s="679"/>
      <c r="F7" s="680"/>
      <c r="G7" s="683" t="s">
        <v>250</v>
      </c>
      <c r="H7" s="680"/>
      <c r="I7" s="677" t="s">
        <v>673</v>
      </c>
      <c r="J7" s="677"/>
      <c r="K7" s="677"/>
      <c r="L7" s="677"/>
      <c r="M7" s="678"/>
    </row>
    <row r="8" spans="1:13" s="246" customFormat="1" ht="18" customHeight="1" thickBot="1" x14ac:dyDescent="0.25">
      <c r="A8" s="245"/>
      <c r="B8" s="693"/>
      <c r="C8" s="684"/>
      <c r="D8" s="681"/>
      <c r="E8" s="681"/>
      <c r="F8" s="682"/>
      <c r="G8" s="684"/>
      <c r="H8" s="682"/>
      <c r="I8" s="623" t="s">
        <v>253</v>
      </c>
      <c r="J8" s="694"/>
      <c r="K8" s="623" t="s">
        <v>674</v>
      </c>
      <c r="L8" s="694"/>
      <c r="M8" s="624"/>
    </row>
    <row r="9" spans="1:13" s="246" customFormat="1" ht="79.5" thickBot="1" x14ac:dyDescent="0.25">
      <c r="A9" s="245"/>
      <c r="B9" s="681"/>
      <c r="C9" s="247" t="s">
        <v>670</v>
      </c>
      <c r="D9" s="248" t="s">
        <v>671</v>
      </c>
      <c r="E9" s="44" t="s">
        <v>237</v>
      </c>
      <c r="F9" s="168" t="s">
        <v>669</v>
      </c>
      <c r="G9" s="183" t="s">
        <v>251</v>
      </c>
      <c r="H9" s="44" t="s">
        <v>252</v>
      </c>
      <c r="I9" s="249" t="s">
        <v>227</v>
      </c>
      <c r="J9" s="248" t="s">
        <v>238</v>
      </c>
      <c r="K9" s="167" t="s">
        <v>223</v>
      </c>
      <c r="L9" s="250" t="s">
        <v>238</v>
      </c>
      <c r="M9" s="168" t="s">
        <v>675</v>
      </c>
    </row>
    <row r="10" spans="1:13" s="246" customFormat="1" x14ac:dyDescent="0.2">
      <c r="A10" s="245"/>
      <c r="B10" s="683"/>
      <c r="C10" s="688"/>
      <c r="D10" s="685"/>
      <c r="E10" s="695"/>
      <c r="F10" s="685"/>
      <c r="G10" s="669"/>
      <c r="H10" s="669"/>
      <c r="I10" s="672"/>
      <c r="J10" s="669"/>
      <c r="K10" s="251"/>
      <c r="L10" s="252"/>
      <c r="M10" s="253"/>
    </row>
    <row r="11" spans="1:13" s="246" customFormat="1" x14ac:dyDescent="0.2">
      <c r="A11" s="245"/>
      <c r="B11" s="691"/>
      <c r="C11" s="689"/>
      <c r="D11" s="686"/>
      <c r="E11" s="689"/>
      <c r="F11" s="686"/>
      <c r="G11" s="670"/>
      <c r="H11" s="670"/>
      <c r="I11" s="673"/>
      <c r="J11" s="670"/>
      <c r="K11" s="254"/>
      <c r="L11" s="255"/>
      <c r="M11" s="256"/>
    </row>
    <row r="12" spans="1:13" s="246" customFormat="1" ht="16.5" thickBot="1" x14ac:dyDescent="0.25">
      <c r="A12" s="245"/>
      <c r="B12" s="691"/>
      <c r="C12" s="690"/>
      <c r="D12" s="687"/>
      <c r="E12" s="690"/>
      <c r="F12" s="687"/>
      <c r="G12" s="671"/>
      <c r="H12" s="671"/>
      <c r="I12" s="674"/>
      <c r="J12" s="671"/>
      <c r="K12" s="257"/>
      <c r="L12" s="258"/>
      <c r="M12" s="259"/>
    </row>
    <row r="13" spans="1:13" x14ac:dyDescent="0.25">
      <c r="A13" s="46"/>
      <c r="B13" s="629"/>
      <c r="C13" s="688"/>
      <c r="D13" s="685"/>
      <c r="E13" s="688"/>
      <c r="F13" s="685"/>
      <c r="G13" s="669"/>
      <c r="H13" s="669"/>
      <c r="I13" s="672"/>
      <c r="J13" s="669"/>
      <c r="K13" s="260"/>
      <c r="L13" s="261"/>
      <c r="M13" s="262"/>
    </row>
    <row r="14" spans="1:13" x14ac:dyDescent="0.25">
      <c r="A14" s="46"/>
      <c r="B14" s="691"/>
      <c r="C14" s="689"/>
      <c r="D14" s="686"/>
      <c r="E14" s="689"/>
      <c r="F14" s="686"/>
      <c r="G14" s="670"/>
      <c r="H14" s="670"/>
      <c r="I14" s="673"/>
      <c r="J14" s="670"/>
      <c r="K14" s="263"/>
      <c r="L14" s="255"/>
      <c r="M14" s="264"/>
    </row>
    <row r="15" spans="1:13" ht="16.5" thickBot="1" x14ac:dyDescent="0.3">
      <c r="A15" s="46"/>
      <c r="B15" s="691"/>
      <c r="C15" s="690"/>
      <c r="D15" s="687"/>
      <c r="E15" s="690"/>
      <c r="F15" s="687"/>
      <c r="G15" s="671"/>
      <c r="H15" s="671"/>
      <c r="I15" s="674"/>
      <c r="J15" s="671"/>
      <c r="K15" s="265"/>
      <c r="L15" s="266"/>
      <c r="M15" s="267"/>
    </row>
    <row r="16" spans="1:13" x14ac:dyDescent="0.25">
      <c r="A16" s="46"/>
      <c r="B16" s="629"/>
      <c r="C16" s="688"/>
      <c r="D16" s="685"/>
      <c r="E16" s="688"/>
      <c r="F16" s="685"/>
      <c r="G16" s="669"/>
      <c r="H16" s="669"/>
      <c r="I16" s="672"/>
      <c r="J16" s="669"/>
      <c r="K16" s="268"/>
      <c r="L16" s="252"/>
      <c r="M16" s="269"/>
    </row>
    <row r="17" spans="1:14" x14ac:dyDescent="0.25">
      <c r="A17" s="46"/>
      <c r="B17" s="691"/>
      <c r="C17" s="689"/>
      <c r="D17" s="686"/>
      <c r="E17" s="689"/>
      <c r="F17" s="686"/>
      <c r="G17" s="670"/>
      <c r="H17" s="670"/>
      <c r="I17" s="673"/>
      <c r="J17" s="670"/>
      <c r="K17" s="263"/>
      <c r="L17" s="255"/>
      <c r="M17" s="264"/>
    </row>
    <row r="18" spans="1:14" ht="16.5" thickBot="1" x14ac:dyDescent="0.3">
      <c r="A18" s="46"/>
      <c r="B18" s="691"/>
      <c r="C18" s="690"/>
      <c r="D18" s="687"/>
      <c r="E18" s="690"/>
      <c r="F18" s="687"/>
      <c r="G18" s="671"/>
      <c r="H18" s="671"/>
      <c r="I18" s="674"/>
      <c r="J18" s="671"/>
      <c r="K18" s="270"/>
      <c r="L18" s="271"/>
      <c r="M18" s="272"/>
    </row>
    <row r="19" spans="1:14" x14ac:dyDescent="0.25">
      <c r="A19" s="46"/>
      <c r="B19" s="629"/>
      <c r="C19" s="688"/>
      <c r="D19" s="685"/>
      <c r="E19" s="688"/>
      <c r="F19" s="685"/>
      <c r="G19" s="669"/>
      <c r="H19" s="669"/>
      <c r="I19" s="672"/>
      <c r="J19" s="669"/>
      <c r="K19" s="265"/>
      <c r="L19" s="266"/>
      <c r="M19" s="273"/>
    </row>
    <row r="20" spans="1:14" x14ac:dyDescent="0.25">
      <c r="A20" s="46"/>
      <c r="B20" s="691"/>
      <c r="C20" s="689"/>
      <c r="D20" s="686"/>
      <c r="E20" s="689"/>
      <c r="F20" s="686"/>
      <c r="G20" s="670"/>
      <c r="H20" s="670"/>
      <c r="I20" s="673"/>
      <c r="J20" s="670"/>
      <c r="K20" s="263"/>
      <c r="L20" s="255"/>
      <c r="M20" s="264"/>
    </row>
    <row r="21" spans="1:14" ht="16.5" thickBot="1" x14ac:dyDescent="0.3">
      <c r="A21" s="46"/>
      <c r="B21" s="630"/>
      <c r="C21" s="690"/>
      <c r="D21" s="687"/>
      <c r="E21" s="690"/>
      <c r="F21" s="687"/>
      <c r="G21" s="671"/>
      <c r="H21" s="671"/>
      <c r="I21" s="674"/>
      <c r="J21" s="671"/>
      <c r="K21" s="274"/>
      <c r="L21" s="258"/>
      <c r="M21" s="267"/>
    </row>
    <row r="22" spans="1:14" x14ac:dyDescent="0.25">
      <c r="A22" s="46"/>
      <c r="B22" s="629"/>
      <c r="C22" s="688"/>
      <c r="D22" s="685"/>
      <c r="E22" s="688"/>
      <c r="F22" s="685"/>
      <c r="G22" s="669"/>
      <c r="H22" s="669"/>
      <c r="I22" s="672"/>
      <c r="J22" s="669"/>
      <c r="K22" s="265"/>
      <c r="L22" s="266"/>
      <c r="M22" s="273"/>
    </row>
    <row r="23" spans="1:14" x14ac:dyDescent="0.25">
      <c r="A23" s="46"/>
      <c r="B23" s="691"/>
      <c r="C23" s="689"/>
      <c r="D23" s="686"/>
      <c r="E23" s="689"/>
      <c r="F23" s="686"/>
      <c r="G23" s="670"/>
      <c r="H23" s="670"/>
      <c r="I23" s="673"/>
      <c r="J23" s="670"/>
      <c r="K23" s="263"/>
      <c r="L23" s="255"/>
      <c r="M23" s="264"/>
    </row>
    <row r="24" spans="1:14" ht="16.5" thickBot="1" x14ac:dyDescent="0.3">
      <c r="A24" s="46"/>
      <c r="B24" s="630"/>
      <c r="C24" s="690"/>
      <c r="D24" s="687"/>
      <c r="E24" s="690"/>
      <c r="F24" s="687"/>
      <c r="G24" s="671"/>
      <c r="H24" s="671"/>
      <c r="I24" s="674"/>
      <c r="J24" s="671"/>
      <c r="K24" s="274"/>
      <c r="L24" s="258"/>
      <c r="M24" s="267"/>
    </row>
    <row r="25" spans="1:14" ht="16.5" customHeight="1" x14ac:dyDescent="0.25">
      <c r="A25" s="45"/>
      <c r="B25" s="692" t="s">
        <v>243</v>
      </c>
      <c r="C25" s="692"/>
      <c r="D25" s="692"/>
      <c r="E25" s="692"/>
      <c r="F25" s="692"/>
      <c r="G25" s="692"/>
      <c r="H25" s="692"/>
      <c r="I25" s="692"/>
      <c r="J25" s="692"/>
      <c r="K25" s="692"/>
      <c r="L25" s="692"/>
      <c r="M25" s="692"/>
    </row>
    <row r="26" spans="1:14" ht="16.5" customHeight="1" x14ac:dyDescent="0.25">
      <c r="A26" s="4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</row>
    <row r="27" spans="1:14" x14ac:dyDescent="0.25"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276"/>
    </row>
    <row r="28" spans="1:14" ht="16.5" thickBot="1" x14ac:dyDescent="0.3">
      <c r="B28" s="675" t="s">
        <v>668</v>
      </c>
      <c r="C28" s="675"/>
      <c r="D28" s="675"/>
      <c r="E28" s="675"/>
      <c r="F28" s="675"/>
      <c r="G28" s="675"/>
      <c r="H28" s="675"/>
      <c r="I28" s="675"/>
      <c r="J28" s="675"/>
      <c r="K28" s="45"/>
      <c r="L28" s="45"/>
      <c r="M28" s="45"/>
    </row>
    <row r="29" spans="1:14" s="246" customFormat="1" ht="15.75" customHeight="1" x14ac:dyDescent="0.2">
      <c r="B29" s="629" t="s">
        <v>244</v>
      </c>
      <c r="C29" s="683" t="s">
        <v>239</v>
      </c>
      <c r="D29" s="680"/>
      <c r="E29" s="679" t="s">
        <v>228</v>
      </c>
      <c r="F29" s="679"/>
      <c r="G29" s="679"/>
      <c r="H29" s="679"/>
      <c r="I29" s="679"/>
      <c r="J29" s="680"/>
      <c r="K29" s="201"/>
      <c r="L29" s="201"/>
      <c r="M29" s="201"/>
      <c r="N29" s="201"/>
    </row>
    <row r="30" spans="1:14" s="246" customFormat="1" ht="8.25" customHeight="1" thickBot="1" x14ac:dyDescent="0.25">
      <c r="B30" s="691"/>
      <c r="C30" s="684"/>
      <c r="D30" s="682"/>
      <c r="E30" s="681"/>
      <c r="F30" s="681"/>
      <c r="G30" s="681"/>
      <c r="H30" s="681"/>
      <c r="I30" s="681"/>
      <c r="J30" s="682"/>
      <c r="K30" s="201"/>
      <c r="M30" s="25"/>
      <c r="N30" s="201"/>
    </row>
    <row r="31" spans="1:14" s="246" customFormat="1" ht="27" customHeight="1" thickBot="1" x14ac:dyDescent="0.25">
      <c r="B31" s="630"/>
      <c r="C31" s="247" t="s">
        <v>193</v>
      </c>
      <c r="D31" s="277" t="s">
        <v>198</v>
      </c>
      <c r="E31" s="278" t="s">
        <v>240</v>
      </c>
      <c r="F31" s="676" t="s">
        <v>241</v>
      </c>
      <c r="G31" s="677"/>
      <c r="H31" s="677"/>
      <c r="I31" s="677"/>
      <c r="J31" s="678"/>
      <c r="K31" s="201"/>
      <c r="M31" s="201"/>
      <c r="N31" s="201"/>
    </row>
    <row r="32" spans="1:14" s="246" customFormat="1" x14ac:dyDescent="0.2">
      <c r="B32" s="629" t="s">
        <v>225</v>
      </c>
      <c r="C32" s="279">
        <v>9401968</v>
      </c>
      <c r="D32" s="280" t="s">
        <v>784</v>
      </c>
      <c r="E32" s="281" t="s">
        <v>785</v>
      </c>
      <c r="F32" s="485" t="s">
        <v>786</v>
      </c>
      <c r="G32" s="486"/>
      <c r="H32" s="486"/>
      <c r="I32" s="486"/>
      <c r="J32" s="487"/>
      <c r="K32" s="201"/>
      <c r="M32" s="201"/>
    </row>
    <row r="33" spans="2:13" s="246" customFormat="1" x14ac:dyDescent="0.2">
      <c r="B33" s="661"/>
      <c r="C33" s="282">
        <v>9401968</v>
      </c>
      <c r="D33" s="283" t="s">
        <v>746</v>
      </c>
      <c r="E33" s="284" t="s">
        <v>787</v>
      </c>
      <c r="F33" s="482" t="s">
        <v>788</v>
      </c>
      <c r="G33" s="483"/>
      <c r="H33" s="483"/>
      <c r="I33" s="483"/>
      <c r="J33" s="484"/>
      <c r="K33" s="201"/>
      <c r="L33" s="201"/>
      <c r="M33" s="201"/>
    </row>
    <row r="34" spans="2:13" s="246" customFormat="1" x14ac:dyDescent="0.2">
      <c r="B34" s="661"/>
      <c r="C34" s="282"/>
      <c r="D34" s="285"/>
      <c r="E34" s="284"/>
      <c r="F34" s="663"/>
      <c r="G34" s="664"/>
      <c r="H34" s="664"/>
      <c r="I34" s="664"/>
      <c r="J34" s="665"/>
      <c r="K34" s="201"/>
      <c r="L34" s="201"/>
      <c r="M34" s="201"/>
    </row>
    <row r="35" spans="2:13" s="246" customFormat="1" ht="16.5" thickBot="1" x14ac:dyDescent="0.25">
      <c r="B35" s="661"/>
      <c r="C35" s="286"/>
      <c r="D35" s="287"/>
      <c r="E35" s="288"/>
      <c r="F35" s="663"/>
      <c r="G35" s="664"/>
      <c r="H35" s="664"/>
      <c r="I35" s="664"/>
      <c r="J35" s="665"/>
      <c r="K35" s="201"/>
      <c r="L35" s="201"/>
      <c r="M35" s="201"/>
    </row>
    <row r="36" spans="2:13" s="246" customFormat="1" ht="16.5" thickBot="1" x14ac:dyDescent="0.25">
      <c r="B36" s="630"/>
      <c r="C36" s="488">
        <f>C32+C33</f>
        <v>18803936</v>
      </c>
      <c r="D36" s="289" t="s">
        <v>229</v>
      </c>
      <c r="E36" s="21"/>
      <c r="F36" s="22"/>
      <c r="G36" s="22"/>
      <c r="H36" s="22"/>
      <c r="I36" s="23"/>
      <c r="J36" s="24"/>
      <c r="K36" s="201"/>
      <c r="L36" s="201"/>
      <c r="M36" s="201"/>
    </row>
    <row r="37" spans="2:13" s="246" customFormat="1" x14ac:dyDescent="0.2">
      <c r="B37" s="629" t="s">
        <v>245</v>
      </c>
      <c r="C37" s="279"/>
      <c r="D37" s="280"/>
      <c r="E37" s="281"/>
      <c r="F37" s="666"/>
      <c r="G37" s="667"/>
      <c r="H37" s="667"/>
      <c r="I37" s="667"/>
      <c r="J37" s="668"/>
      <c r="K37" s="201"/>
      <c r="L37" s="201"/>
      <c r="M37" s="201"/>
    </row>
    <row r="38" spans="2:13" s="246" customFormat="1" x14ac:dyDescent="0.2">
      <c r="B38" s="661"/>
      <c r="C38" s="282"/>
      <c r="D38" s="283"/>
      <c r="E38" s="284"/>
      <c r="F38" s="663"/>
      <c r="G38" s="664"/>
      <c r="H38" s="664"/>
      <c r="I38" s="664"/>
      <c r="J38" s="665"/>
      <c r="K38" s="201"/>
      <c r="L38" s="201"/>
      <c r="M38" s="201"/>
    </row>
    <row r="39" spans="2:13" s="246" customFormat="1" x14ac:dyDescent="0.2">
      <c r="B39" s="661"/>
      <c r="C39" s="282"/>
      <c r="D39" s="285"/>
      <c r="E39" s="284"/>
      <c r="F39" s="663"/>
      <c r="G39" s="664"/>
      <c r="H39" s="664"/>
      <c r="I39" s="664"/>
      <c r="J39" s="665"/>
      <c r="K39" s="201"/>
      <c r="L39" s="201"/>
      <c r="M39" s="201"/>
    </row>
    <row r="40" spans="2:13" s="246" customFormat="1" ht="16.5" thickBot="1" x14ac:dyDescent="0.25">
      <c r="B40" s="661"/>
      <c r="C40" s="286"/>
      <c r="D40" s="287"/>
      <c r="E40" s="288"/>
      <c r="F40" s="663"/>
      <c r="G40" s="664"/>
      <c r="H40" s="664"/>
      <c r="I40" s="664"/>
      <c r="J40" s="665"/>
      <c r="K40" s="201"/>
      <c r="L40" s="201"/>
      <c r="M40" s="201"/>
    </row>
    <row r="41" spans="2:13" s="246" customFormat="1" ht="16.5" thickBot="1" x14ac:dyDescent="0.25">
      <c r="B41" s="630"/>
      <c r="C41" s="289"/>
      <c r="D41" s="289" t="s">
        <v>229</v>
      </c>
      <c r="E41" s="21"/>
      <c r="F41" s="22"/>
      <c r="G41" s="22"/>
      <c r="H41" s="22"/>
      <c r="I41" s="23"/>
      <c r="J41" s="24"/>
      <c r="K41" s="201"/>
      <c r="L41" s="201"/>
      <c r="M41" s="201"/>
    </row>
    <row r="42" spans="2:13" s="246" customFormat="1" x14ac:dyDescent="0.2">
      <c r="B42" s="629" t="s">
        <v>246</v>
      </c>
      <c r="C42" s="279"/>
      <c r="D42" s="280"/>
      <c r="E42" s="281"/>
      <c r="F42" s="666"/>
      <c r="G42" s="667"/>
      <c r="H42" s="667"/>
      <c r="I42" s="667"/>
      <c r="J42" s="668"/>
      <c r="K42" s="201"/>
      <c r="L42" s="201"/>
      <c r="M42" s="201"/>
    </row>
    <row r="43" spans="2:13" s="246" customFormat="1" x14ac:dyDescent="0.2">
      <c r="B43" s="661"/>
      <c r="C43" s="282"/>
      <c r="D43" s="283"/>
      <c r="E43" s="284"/>
      <c r="F43" s="663"/>
      <c r="G43" s="664"/>
      <c r="H43" s="664"/>
      <c r="I43" s="664"/>
      <c r="J43" s="665"/>
      <c r="K43" s="201"/>
      <c r="L43" s="201"/>
      <c r="M43" s="201"/>
    </row>
    <row r="44" spans="2:13" s="246" customFormat="1" x14ac:dyDescent="0.2">
      <c r="B44" s="661"/>
      <c r="C44" s="282"/>
      <c r="D44" s="285"/>
      <c r="E44" s="284"/>
      <c r="F44" s="663"/>
      <c r="G44" s="664"/>
      <c r="H44" s="664"/>
      <c r="I44" s="664"/>
      <c r="J44" s="665"/>
      <c r="K44" s="201"/>
      <c r="L44" s="201"/>
      <c r="M44" s="201"/>
    </row>
    <row r="45" spans="2:13" s="246" customFormat="1" ht="16.5" thickBot="1" x14ac:dyDescent="0.25">
      <c r="B45" s="661"/>
      <c r="C45" s="286"/>
      <c r="D45" s="287"/>
      <c r="E45" s="288"/>
      <c r="F45" s="663"/>
      <c r="G45" s="664"/>
      <c r="H45" s="664"/>
      <c r="I45" s="664"/>
      <c r="J45" s="665"/>
      <c r="K45" s="201"/>
      <c r="L45" s="201"/>
      <c r="M45" s="201"/>
    </row>
    <row r="46" spans="2:13" s="246" customFormat="1" ht="16.5" thickBot="1" x14ac:dyDescent="0.25">
      <c r="B46" s="630"/>
      <c r="C46" s="289"/>
      <c r="D46" s="289" t="s">
        <v>229</v>
      </c>
      <c r="E46" s="21"/>
      <c r="F46" s="22"/>
      <c r="G46" s="22"/>
      <c r="H46" s="22"/>
      <c r="I46" s="23"/>
      <c r="J46" s="24"/>
      <c r="K46" s="201"/>
      <c r="L46" s="201"/>
      <c r="M46" s="201"/>
    </row>
    <row r="47" spans="2:13" s="246" customFormat="1" x14ac:dyDescent="0.2">
      <c r="B47" s="629" t="s">
        <v>247</v>
      </c>
      <c r="C47" s="279"/>
      <c r="D47" s="280"/>
      <c r="E47" s="281"/>
      <c r="F47" s="666"/>
      <c r="G47" s="667"/>
      <c r="H47" s="667"/>
      <c r="I47" s="667"/>
      <c r="J47" s="668"/>
      <c r="K47" s="201"/>
      <c r="L47" s="201"/>
      <c r="M47" s="201"/>
    </row>
    <row r="48" spans="2:13" s="246" customFormat="1" x14ac:dyDescent="0.2">
      <c r="B48" s="661"/>
      <c r="C48" s="282"/>
      <c r="D48" s="283"/>
      <c r="E48" s="284"/>
      <c r="F48" s="663"/>
      <c r="G48" s="664"/>
      <c r="H48" s="664"/>
      <c r="I48" s="664"/>
      <c r="J48" s="665"/>
      <c r="K48" s="201"/>
      <c r="L48" s="201"/>
      <c r="M48" s="201"/>
    </row>
    <row r="49" spans="2:13" s="246" customFormat="1" x14ac:dyDescent="0.2">
      <c r="B49" s="661"/>
      <c r="C49" s="282"/>
      <c r="D49" s="285"/>
      <c r="E49" s="284"/>
      <c r="F49" s="663"/>
      <c r="G49" s="664"/>
      <c r="H49" s="664"/>
      <c r="I49" s="664"/>
      <c r="J49" s="665"/>
      <c r="K49" s="201"/>
      <c r="L49" s="201"/>
      <c r="M49" s="201"/>
    </row>
    <row r="50" spans="2:13" s="246" customFormat="1" ht="16.5" thickBot="1" x14ac:dyDescent="0.25">
      <c r="B50" s="661"/>
      <c r="C50" s="286"/>
      <c r="D50" s="287"/>
      <c r="E50" s="288"/>
      <c r="F50" s="663"/>
      <c r="G50" s="664"/>
      <c r="H50" s="664"/>
      <c r="I50" s="664"/>
      <c r="J50" s="665"/>
      <c r="K50" s="201"/>
      <c r="L50" s="201"/>
      <c r="M50" s="201"/>
    </row>
    <row r="51" spans="2:13" s="246" customFormat="1" ht="16.5" thickBot="1" x14ac:dyDescent="0.25">
      <c r="B51" s="630"/>
      <c r="C51" s="289"/>
      <c r="D51" s="289" t="s">
        <v>229</v>
      </c>
      <c r="E51" s="21"/>
      <c r="F51" s="22"/>
      <c r="G51" s="22"/>
      <c r="H51" s="22"/>
      <c r="I51" s="23"/>
      <c r="J51" s="24"/>
      <c r="K51" s="201"/>
      <c r="L51" s="201"/>
      <c r="M51" s="201"/>
    </row>
    <row r="52" spans="2:13" s="246" customFormat="1" x14ac:dyDescent="0.2">
      <c r="B52" s="629" t="s">
        <v>248</v>
      </c>
      <c r="C52" s="279"/>
      <c r="D52" s="280"/>
      <c r="E52" s="281"/>
      <c r="F52" s="666"/>
      <c r="G52" s="667"/>
      <c r="H52" s="667"/>
      <c r="I52" s="667"/>
      <c r="J52" s="668"/>
      <c r="K52" s="201"/>
      <c r="L52" s="201"/>
      <c r="M52" s="201"/>
    </row>
    <row r="53" spans="2:13" s="246" customFormat="1" x14ac:dyDescent="0.2">
      <c r="B53" s="661"/>
      <c r="C53" s="282"/>
      <c r="D53" s="283"/>
      <c r="E53" s="284"/>
      <c r="F53" s="663"/>
      <c r="G53" s="664"/>
      <c r="H53" s="664"/>
      <c r="I53" s="664"/>
      <c r="J53" s="665"/>
      <c r="K53" s="201"/>
      <c r="L53" s="201"/>
      <c r="M53" s="201"/>
    </row>
    <row r="54" spans="2:13" s="246" customFormat="1" x14ac:dyDescent="0.2">
      <c r="B54" s="661"/>
      <c r="C54" s="282"/>
      <c r="D54" s="285"/>
      <c r="E54" s="284"/>
      <c r="F54" s="663"/>
      <c r="G54" s="664"/>
      <c r="H54" s="664"/>
      <c r="I54" s="664"/>
      <c r="J54" s="665"/>
      <c r="K54" s="201"/>
      <c r="L54" s="201"/>
      <c r="M54" s="201"/>
    </row>
    <row r="55" spans="2:13" s="246" customFormat="1" ht="16.5" thickBot="1" x14ac:dyDescent="0.25">
      <c r="B55" s="661"/>
      <c r="C55" s="286"/>
      <c r="D55" s="287"/>
      <c r="E55" s="288"/>
      <c r="F55" s="663"/>
      <c r="G55" s="664"/>
      <c r="H55" s="664"/>
      <c r="I55" s="664"/>
      <c r="J55" s="665"/>
      <c r="K55" s="201"/>
      <c r="L55" s="201"/>
      <c r="M55" s="201"/>
    </row>
    <row r="56" spans="2:13" s="246" customFormat="1" ht="16.5" thickBot="1" x14ac:dyDescent="0.25">
      <c r="B56" s="630"/>
      <c r="C56" s="289"/>
      <c r="D56" s="289" t="s">
        <v>229</v>
      </c>
      <c r="E56" s="21"/>
      <c r="F56" s="22"/>
      <c r="G56" s="22"/>
      <c r="H56" s="22"/>
      <c r="I56" s="23"/>
      <c r="J56" s="24"/>
      <c r="K56" s="201"/>
      <c r="L56" s="201"/>
      <c r="M56" s="201"/>
    </row>
    <row r="57" spans="2:13" x14ac:dyDescent="0.25">
      <c r="I57" s="45"/>
      <c r="J57" s="45"/>
    </row>
    <row r="58" spans="2:13" x14ac:dyDescent="0.25">
      <c r="B58" s="39" t="s">
        <v>242</v>
      </c>
    </row>
  </sheetData>
  <mergeCells count="83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5:M25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4:J34"/>
    <mergeCell ref="C29:D30"/>
    <mergeCell ref="B32:B36"/>
    <mergeCell ref="F53:J53"/>
    <mergeCell ref="F54:J54"/>
    <mergeCell ref="F40:J40"/>
    <mergeCell ref="J13:J15"/>
    <mergeCell ref="J16:J18"/>
    <mergeCell ref="J19:J21"/>
    <mergeCell ref="J22:J24"/>
    <mergeCell ref="I13:I15"/>
    <mergeCell ref="I16:I18"/>
    <mergeCell ref="B47:B51"/>
    <mergeCell ref="B27:K27"/>
    <mergeCell ref="B37:B41"/>
    <mergeCell ref="F35:J35"/>
    <mergeCell ref="F37:J37"/>
    <mergeCell ref="F38:J38"/>
    <mergeCell ref="F39:J39"/>
    <mergeCell ref="F42:J42"/>
    <mergeCell ref="F43:J43"/>
    <mergeCell ref="F44:J44"/>
    <mergeCell ref="F45:J45"/>
    <mergeCell ref="B42:B46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ALEKSANDRA</cp:lastModifiedBy>
  <cp:lastPrinted>2026-01-28T14:17:16Z</cp:lastPrinted>
  <dcterms:created xsi:type="dcterms:W3CDTF">2013-03-12T08:27:17Z</dcterms:created>
  <dcterms:modified xsi:type="dcterms:W3CDTF">2026-01-30T13:29:42Z</dcterms:modified>
</cp:coreProperties>
</file>